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zan\OneDrive - Högskolan i Gävle\Elbilar\Own material\"/>
    </mc:Choice>
  </mc:AlternateContent>
  <bookViews>
    <workbookView xWindow="0" yWindow="0" windowWidth="28800" windowHeight="11700" activeTab="1"/>
  </bookViews>
  <sheets>
    <sheet name="Lathund" sheetId="3" r:id="rId1"/>
    <sheet name="Bilkostnadskalkyl"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C17" i="2"/>
  <c r="D96" i="2" l="1"/>
  <c r="E96" i="2"/>
  <c r="F96" i="2"/>
  <c r="G96" i="2"/>
  <c r="H96" i="2"/>
  <c r="I96" i="2"/>
  <c r="J96" i="2"/>
  <c r="K96" i="2"/>
  <c r="L96" i="2"/>
  <c r="C96" i="2"/>
  <c r="C79" i="2"/>
  <c r="C59" i="2"/>
  <c r="D59" i="2"/>
  <c r="E59" i="2"/>
  <c r="F59" i="2"/>
  <c r="G59" i="2"/>
  <c r="H59" i="2"/>
  <c r="I59" i="2"/>
  <c r="J59" i="2"/>
  <c r="K59" i="2"/>
  <c r="L59" i="2"/>
  <c r="D76" i="2" l="1"/>
  <c r="E76" i="2"/>
  <c r="F76" i="2"/>
  <c r="G76" i="2"/>
  <c r="H76" i="2"/>
  <c r="I76" i="2"/>
  <c r="J76" i="2"/>
  <c r="K76" i="2"/>
  <c r="L76" i="2"/>
  <c r="C76" i="2"/>
  <c r="C77" i="2" l="1"/>
  <c r="F17" i="2"/>
  <c r="G17" i="2"/>
  <c r="H17" i="2"/>
  <c r="I17" i="2"/>
  <c r="H20" i="2"/>
  <c r="E17" i="2" l="1"/>
  <c r="H33" i="2" l="1"/>
  <c r="I33" i="2"/>
  <c r="J33" i="2"/>
  <c r="K33" i="2"/>
  <c r="L33" i="2"/>
  <c r="G33" i="2"/>
  <c r="F33" i="2"/>
  <c r="E33" i="2"/>
  <c r="D33" i="2"/>
  <c r="C33" i="2"/>
  <c r="D34" i="2" l="1"/>
  <c r="D136" i="2" s="1"/>
  <c r="D147" i="2" s="1"/>
  <c r="E34" i="2"/>
  <c r="E136" i="2" s="1"/>
  <c r="E147" i="2" s="1"/>
  <c r="F34" i="2"/>
  <c r="F136" i="2" s="1"/>
  <c r="F147" i="2" s="1"/>
  <c r="G34" i="2"/>
  <c r="G136" i="2" s="1"/>
  <c r="G147" i="2" s="1"/>
  <c r="H34" i="2"/>
  <c r="H136" i="2" s="1"/>
  <c r="H147" i="2" s="1"/>
  <c r="I34" i="2"/>
  <c r="I136" i="2" s="1"/>
  <c r="I147" i="2" s="1"/>
  <c r="J34" i="2"/>
  <c r="J136" i="2" s="1"/>
  <c r="J147" i="2" s="1"/>
  <c r="K34" i="2"/>
  <c r="K136" i="2" s="1"/>
  <c r="K147" i="2" s="1"/>
  <c r="L34" i="2"/>
  <c r="L136" i="2" s="1"/>
  <c r="L147" i="2" s="1"/>
  <c r="C34" i="2"/>
  <c r="C136" i="2" s="1"/>
  <c r="C147" i="2" s="1"/>
  <c r="L22" i="2" l="1"/>
  <c r="L25" i="2" s="1"/>
  <c r="K22" i="2"/>
  <c r="J138" i="2"/>
  <c r="J148" i="2" s="1"/>
  <c r="J146" i="2"/>
  <c r="J156" i="2" s="1"/>
  <c r="J139" i="2"/>
  <c r="J149" i="2" s="1"/>
  <c r="J140" i="2"/>
  <c r="J150" i="2" s="1"/>
  <c r="J141" i="2"/>
  <c r="J151" i="2" s="1"/>
  <c r="J145" i="2"/>
  <c r="J155" i="2" s="1"/>
  <c r="J142" i="2"/>
  <c r="J152" i="2" s="1"/>
  <c r="J143" i="2"/>
  <c r="J153" i="2" s="1"/>
  <c r="J144" i="2"/>
  <c r="J154" i="2" s="1"/>
  <c r="H140" i="2"/>
  <c r="H150" i="2" s="1"/>
  <c r="H141" i="2"/>
  <c r="H151" i="2" s="1"/>
  <c r="H142" i="2"/>
  <c r="H152" i="2" s="1"/>
  <c r="H143" i="2"/>
  <c r="H153" i="2" s="1"/>
  <c r="H139" i="2"/>
  <c r="H149" i="2" s="1"/>
  <c r="H144" i="2"/>
  <c r="H154" i="2" s="1"/>
  <c r="H145" i="2"/>
  <c r="H155" i="2" s="1"/>
  <c r="H138" i="2"/>
  <c r="H148" i="2" s="1"/>
  <c r="H146" i="2"/>
  <c r="H156" i="2" s="1"/>
  <c r="I139" i="2"/>
  <c r="I149" i="2" s="1"/>
  <c r="I140" i="2"/>
  <c r="I150" i="2" s="1"/>
  <c r="I141" i="2"/>
  <c r="I151" i="2" s="1"/>
  <c r="I142" i="2"/>
  <c r="I152" i="2" s="1"/>
  <c r="I138" i="2"/>
  <c r="I148" i="2" s="1"/>
  <c r="I143" i="2"/>
  <c r="I153" i="2" s="1"/>
  <c r="I144" i="2"/>
  <c r="I154" i="2" s="1"/>
  <c r="I146" i="2"/>
  <c r="I156" i="2" s="1"/>
  <c r="I145" i="2"/>
  <c r="I155" i="2" s="1"/>
  <c r="G22" i="2"/>
  <c r="F142" i="2"/>
  <c r="F152" i="2" s="1"/>
  <c r="F143" i="2"/>
  <c r="F153" i="2" s="1"/>
  <c r="F144" i="2"/>
  <c r="F154" i="2" s="1"/>
  <c r="F145" i="2"/>
  <c r="F155" i="2" s="1"/>
  <c r="F141" i="2"/>
  <c r="F151" i="2" s="1"/>
  <c r="F138" i="2"/>
  <c r="F148" i="2" s="1"/>
  <c r="F146" i="2"/>
  <c r="F156" i="2" s="1"/>
  <c r="F139" i="2"/>
  <c r="F149" i="2" s="1"/>
  <c r="F140" i="2"/>
  <c r="F150" i="2" s="1"/>
  <c r="E143" i="2"/>
  <c r="E153" i="2" s="1"/>
  <c r="E144" i="2"/>
  <c r="E154" i="2" s="1"/>
  <c r="E145" i="2"/>
  <c r="E155" i="2" s="1"/>
  <c r="E138" i="2"/>
  <c r="E148" i="2" s="1"/>
  <c r="E146" i="2"/>
  <c r="E156" i="2" s="1"/>
  <c r="E142" i="2"/>
  <c r="E152" i="2" s="1"/>
  <c r="E139" i="2"/>
  <c r="E149" i="2" s="1"/>
  <c r="E140" i="2"/>
  <c r="E150" i="2" s="1"/>
  <c r="E141" i="2"/>
  <c r="E151" i="2" s="1"/>
  <c r="C144" i="2"/>
  <c r="C154" i="2" s="1"/>
  <c r="C145" i="2"/>
  <c r="C155" i="2" s="1"/>
  <c r="C146" i="2"/>
  <c r="C156" i="2" s="1"/>
  <c r="C139" i="2"/>
  <c r="C149" i="2" s="1"/>
  <c r="C138" i="2"/>
  <c r="C148" i="2" s="1"/>
  <c r="C140" i="2"/>
  <c r="C150" i="2" s="1"/>
  <c r="C143" i="2"/>
  <c r="C153" i="2" s="1"/>
  <c r="C141" i="2"/>
  <c r="C151" i="2" s="1"/>
  <c r="C142" i="2"/>
  <c r="C152" i="2" s="1"/>
  <c r="D22" i="2"/>
  <c r="C22" i="2"/>
  <c r="J22" i="2"/>
  <c r="H22" i="2"/>
  <c r="I22" i="2"/>
  <c r="E22" i="2"/>
  <c r="F22" i="2"/>
  <c r="I60" i="2"/>
  <c r="K65" i="2"/>
  <c r="L65" i="2"/>
  <c r="I77" i="2"/>
  <c r="K78" i="2"/>
  <c r="L78" i="2"/>
  <c r="I98" i="2"/>
  <c r="J98" i="2"/>
  <c r="K97" i="2"/>
  <c r="K107" i="2" s="1"/>
  <c r="L97" i="2"/>
  <c r="L107" i="2" s="1"/>
  <c r="I116" i="2"/>
  <c r="J116" i="2"/>
  <c r="J120" i="2" s="1"/>
  <c r="K116" i="2"/>
  <c r="K126" i="2" s="1"/>
  <c r="L116" i="2"/>
  <c r="L118" i="2" s="1"/>
  <c r="F27" i="2" l="1"/>
  <c r="H27" i="2"/>
  <c r="D144" i="2"/>
  <c r="D154" i="2" s="1"/>
  <c r="D145" i="2"/>
  <c r="D155" i="2" s="1"/>
  <c r="D138" i="2"/>
  <c r="D148" i="2" s="1"/>
  <c r="D146" i="2"/>
  <c r="D156" i="2" s="1"/>
  <c r="D139" i="2"/>
  <c r="D149" i="2" s="1"/>
  <c r="D143" i="2"/>
  <c r="D153" i="2" s="1"/>
  <c r="D140" i="2"/>
  <c r="D150" i="2" s="1"/>
  <c r="D141" i="2"/>
  <c r="D151" i="2" s="1"/>
  <c r="D142" i="2"/>
  <c r="D152" i="2" s="1"/>
  <c r="G141" i="2"/>
  <c r="G151" i="2" s="1"/>
  <c r="G142" i="2"/>
  <c r="G152" i="2" s="1"/>
  <c r="G143" i="2"/>
  <c r="G153" i="2" s="1"/>
  <c r="G144" i="2"/>
  <c r="G154" i="2" s="1"/>
  <c r="G140" i="2"/>
  <c r="G150" i="2" s="1"/>
  <c r="G145" i="2"/>
  <c r="G155" i="2" s="1"/>
  <c r="G138" i="2"/>
  <c r="G148" i="2" s="1"/>
  <c r="G146" i="2"/>
  <c r="G156" i="2" s="1"/>
  <c r="G139" i="2"/>
  <c r="G149" i="2" s="1"/>
  <c r="I27" i="2"/>
  <c r="J27" i="2"/>
  <c r="K145" i="2"/>
  <c r="K155" i="2" s="1"/>
  <c r="K138" i="2"/>
  <c r="K148" i="2" s="1"/>
  <c r="K146" i="2"/>
  <c r="K156" i="2" s="1"/>
  <c r="K139" i="2"/>
  <c r="K149" i="2" s="1"/>
  <c r="K140" i="2"/>
  <c r="K150" i="2" s="1"/>
  <c r="K144" i="2"/>
  <c r="K154" i="2" s="1"/>
  <c r="K141" i="2"/>
  <c r="K151" i="2" s="1"/>
  <c r="K142" i="2"/>
  <c r="K152" i="2" s="1"/>
  <c r="K143" i="2"/>
  <c r="K153" i="2" s="1"/>
  <c r="E27" i="2"/>
  <c r="C27" i="2"/>
  <c r="L144" i="2"/>
  <c r="L154" i="2" s="1"/>
  <c r="L145" i="2"/>
  <c r="L155" i="2" s="1"/>
  <c r="L138" i="2"/>
  <c r="L148" i="2" s="1"/>
  <c r="L146" i="2"/>
  <c r="L156" i="2" s="1"/>
  <c r="L143" i="2"/>
  <c r="L153" i="2" s="1"/>
  <c r="L139" i="2"/>
  <c r="L149" i="2" s="1"/>
  <c r="L140" i="2"/>
  <c r="L150" i="2" s="1"/>
  <c r="L141" i="2"/>
  <c r="L151" i="2" s="1"/>
  <c r="L142" i="2"/>
  <c r="L152" i="2" s="1"/>
  <c r="L106" i="2"/>
  <c r="L98" i="2"/>
  <c r="L108" i="2" s="1"/>
  <c r="L61" i="2"/>
  <c r="L126" i="2"/>
  <c r="L124" i="2"/>
  <c r="L122" i="2"/>
  <c r="L120" i="2"/>
  <c r="K63" i="2"/>
  <c r="K106" i="2"/>
  <c r="K61" i="2"/>
  <c r="K98" i="2"/>
  <c r="K108" i="2" s="1"/>
  <c r="K112" i="2" s="1"/>
  <c r="J124" i="2"/>
  <c r="J122" i="2"/>
  <c r="J121" i="2"/>
  <c r="J119" i="2"/>
  <c r="J126" i="2"/>
  <c r="J125" i="2"/>
  <c r="J117" i="2"/>
  <c r="J127" i="2" s="1"/>
  <c r="J97" i="2"/>
  <c r="J107" i="2" s="1"/>
  <c r="J106" i="2"/>
  <c r="I63" i="2"/>
  <c r="I65" i="2"/>
  <c r="I106" i="2"/>
  <c r="I97" i="2"/>
  <c r="I107" i="2" s="1"/>
  <c r="J118" i="2"/>
  <c r="I117" i="2"/>
  <c r="I119" i="2"/>
  <c r="I121" i="2"/>
  <c r="I123" i="2"/>
  <c r="I125" i="2"/>
  <c r="J86" i="2"/>
  <c r="J77" i="2"/>
  <c r="J69" i="2"/>
  <c r="J70" i="2" s="1"/>
  <c r="J71" i="2" s="1"/>
  <c r="J72" i="2" s="1"/>
  <c r="J73" i="2" s="1"/>
  <c r="J74" i="2" s="1"/>
  <c r="J75" i="2" s="1"/>
  <c r="J60" i="2"/>
  <c r="J62" i="2"/>
  <c r="J64" i="2"/>
  <c r="I122" i="2"/>
  <c r="K118" i="2"/>
  <c r="J63" i="2"/>
  <c r="K124" i="2"/>
  <c r="I118" i="2"/>
  <c r="I124" i="2"/>
  <c r="K120" i="2"/>
  <c r="J123" i="2"/>
  <c r="L117" i="2"/>
  <c r="L119" i="2"/>
  <c r="L121" i="2"/>
  <c r="L123" i="2"/>
  <c r="L125" i="2"/>
  <c r="J78" i="2"/>
  <c r="J65" i="2"/>
  <c r="J61" i="2"/>
  <c r="I120" i="2"/>
  <c r="K117" i="2"/>
  <c r="K119" i="2"/>
  <c r="K121" i="2"/>
  <c r="K123" i="2"/>
  <c r="K125" i="2"/>
  <c r="L77" i="2"/>
  <c r="L87" i="2" s="1"/>
  <c r="L86" i="2"/>
  <c r="L60" i="2"/>
  <c r="L62" i="2"/>
  <c r="L64" i="2"/>
  <c r="L69" i="2"/>
  <c r="L70" i="2" s="1"/>
  <c r="L71" i="2" s="1"/>
  <c r="L72" i="2" s="1"/>
  <c r="L73" i="2" s="1"/>
  <c r="L74" i="2" s="1"/>
  <c r="L75" i="2" s="1"/>
  <c r="I126" i="2"/>
  <c r="K122" i="2"/>
  <c r="K77" i="2"/>
  <c r="K87" i="2" s="1"/>
  <c r="K86" i="2"/>
  <c r="L63" i="2"/>
  <c r="K60" i="2"/>
  <c r="K62" i="2"/>
  <c r="K64" i="2"/>
  <c r="K69" i="2"/>
  <c r="K70" i="2" s="1"/>
  <c r="K71" i="2" s="1"/>
  <c r="K72" i="2" s="1"/>
  <c r="K73" i="2" s="1"/>
  <c r="K74" i="2" s="1"/>
  <c r="K75" i="2" s="1"/>
  <c r="I87" i="2"/>
  <c r="I78" i="2"/>
  <c r="I88" i="2" s="1"/>
  <c r="I61" i="2"/>
  <c r="I86" i="2"/>
  <c r="I69" i="2"/>
  <c r="I70" i="2" s="1"/>
  <c r="I71" i="2" s="1"/>
  <c r="I72" i="2" s="1"/>
  <c r="I73" i="2" s="1"/>
  <c r="I74" i="2" s="1"/>
  <c r="I75" i="2" s="1"/>
  <c r="I64" i="2"/>
  <c r="I62" i="2"/>
  <c r="J108" i="2" l="1"/>
  <c r="J112" i="2" s="1"/>
  <c r="L27" i="2"/>
  <c r="G27" i="2"/>
  <c r="D27" i="2"/>
  <c r="K27" i="2"/>
  <c r="J132" i="2"/>
  <c r="J128" i="2"/>
  <c r="J131" i="2"/>
  <c r="J135" i="2"/>
  <c r="J130" i="2"/>
  <c r="J129" i="2"/>
  <c r="I108" i="2"/>
  <c r="I109" i="2" s="1"/>
  <c r="K111" i="2"/>
  <c r="K110" i="2"/>
  <c r="K109" i="2"/>
  <c r="K114" i="2"/>
  <c r="K115" i="2"/>
  <c r="K113" i="2"/>
  <c r="L135" i="2"/>
  <c r="I135" i="2"/>
  <c r="I133" i="2"/>
  <c r="K133" i="2"/>
  <c r="J88" i="2"/>
  <c r="K129" i="2"/>
  <c r="L133" i="2"/>
  <c r="I90" i="2"/>
  <c r="I92" i="2"/>
  <c r="I94" i="2"/>
  <c r="I89" i="2"/>
  <c r="I93" i="2"/>
  <c r="I91" i="2"/>
  <c r="I25" i="2" s="1"/>
  <c r="I95" i="2"/>
  <c r="I132" i="2"/>
  <c r="K88" i="2"/>
  <c r="K135" i="2"/>
  <c r="I131" i="2"/>
  <c r="L128" i="2"/>
  <c r="L134" i="2"/>
  <c r="L132" i="2"/>
  <c r="L130" i="2"/>
  <c r="K131" i="2"/>
  <c r="L131" i="2"/>
  <c r="I128" i="2"/>
  <c r="L109" i="2"/>
  <c r="L111" i="2"/>
  <c r="L113" i="2"/>
  <c r="L115" i="2"/>
  <c r="L112" i="2"/>
  <c r="L110" i="2"/>
  <c r="L114" i="2"/>
  <c r="I127" i="2"/>
  <c r="L129" i="2"/>
  <c r="I130" i="2"/>
  <c r="J87" i="2"/>
  <c r="J134" i="2"/>
  <c r="J133" i="2"/>
  <c r="K132" i="2"/>
  <c r="K130" i="2"/>
  <c r="K128" i="2"/>
  <c r="I134" i="2"/>
  <c r="I129" i="2"/>
  <c r="K127" i="2"/>
  <c r="L127" i="2"/>
  <c r="L88" i="2"/>
  <c r="K134" i="2"/>
  <c r="D61" i="2"/>
  <c r="E64" i="2"/>
  <c r="F69" i="2"/>
  <c r="F70" i="2" s="1"/>
  <c r="F71" i="2" s="1"/>
  <c r="G65" i="2"/>
  <c r="H60" i="2"/>
  <c r="E77" i="2"/>
  <c r="F78" i="2"/>
  <c r="G77" i="2"/>
  <c r="H86" i="2"/>
  <c r="D98" i="2"/>
  <c r="E98" i="2"/>
  <c r="F97" i="2"/>
  <c r="G106" i="2"/>
  <c r="H106" i="2"/>
  <c r="D116" i="2"/>
  <c r="D118" i="2" s="1"/>
  <c r="E116" i="2"/>
  <c r="E121" i="2" s="1"/>
  <c r="G116" i="2"/>
  <c r="G122" i="2" s="1"/>
  <c r="H116" i="2"/>
  <c r="H117" i="2" s="1"/>
  <c r="C78" i="2"/>
  <c r="C69" i="2"/>
  <c r="C70" i="2" s="1"/>
  <c r="C71" i="2" s="1"/>
  <c r="C97" i="2"/>
  <c r="S16" i="2"/>
  <c r="C36" i="2" s="1"/>
  <c r="C116" i="2"/>
  <c r="C126" i="2" s="1"/>
  <c r="F116" i="2"/>
  <c r="J109" i="2" l="1"/>
  <c r="J113" i="2"/>
  <c r="J110" i="2"/>
  <c r="J115" i="2"/>
  <c r="J111" i="2"/>
  <c r="J114" i="2"/>
  <c r="I26" i="2"/>
  <c r="J26" i="2"/>
  <c r="C46" i="2"/>
  <c r="L26" i="2"/>
  <c r="J91" i="2"/>
  <c r="J25" i="2" s="1"/>
  <c r="K26" i="2"/>
  <c r="C72" i="2"/>
  <c r="C73" i="2" s="1"/>
  <c r="C74" i="2" s="1"/>
  <c r="C75" i="2" s="1"/>
  <c r="F72" i="2"/>
  <c r="F73" i="2" s="1"/>
  <c r="F74" i="2" s="1"/>
  <c r="F75" i="2" s="1"/>
  <c r="I110" i="2"/>
  <c r="I112" i="2"/>
  <c r="I115" i="2"/>
  <c r="I113" i="2"/>
  <c r="I114" i="2"/>
  <c r="I111" i="2"/>
  <c r="C61" i="2"/>
  <c r="E123" i="2"/>
  <c r="G124" i="2"/>
  <c r="J90" i="2"/>
  <c r="J93" i="2"/>
  <c r="J95" i="2"/>
  <c r="J94" i="2"/>
  <c r="J92" i="2"/>
  <c r="J89" i="2"/>
  <c r="C41" i="2"/>
  <c r="I36" i="2"/>
  <c r="J36" i="2"/>
  <c r="K36" i="2"/>
  <c r="L36" i="2"/>
  <c r="L90" i="2"/>
  <c r="L92" i="2"/>
  <c r="L94" i="2"/>
  <c r="L95" i="2"/>
  <c r="L89" i="2"/>
  <c r="L93" i="2"/>
  <c r="L91" i="2"/>
  <c r="K90" i="2"/>
  <c r="K92" i="2"/>
  <c r="K94" i="2"/>
  <c r="K95" i="2"/>
  <c r="K89" i="2"/>
  <c r="K93" i="2"/>
  <c r="K91" i="2"/>
  <c r="K25" i="2" s="1"/>
  <c r="D69" i="2"/>
  <c r="D70" i="2" s="1"/>
  <c r="D71" i="2" s="1"/>
  <c r="D124" i="2"/>
  <c r="D121" i="2"/>
  <c r="F65" i="2"/>
  <c r="C63" i="2"/>
  <c r="H78" i="2"/>
  <c r="D64" i="2"/>
  <c r="D119" i="2"/>
  <c r="C122" i="2"/>
  <c r="H77" i="2"/>
  <c r="H87" i="2" s="1"/>
  <c r="D62" i="2"/>
  <c r="E86" i="2"/>
  <c r="F98" i="2"/>
  <c r="F108" i="2" s="1"/>
  <c r="F111" i="2" s="1"/>
  <c r="G97" i="2"/>
  <c r="G107" i="2" s="1"/>
  <c r="E78" i="2"/>
  <c r="E88" i="2" s="1"/>
  <c r="F123" i="2"/>
  <c r="F125" i="2"/>
  <c r="F122" i="2"/>
  <c r="C119" i="2"/>
  <c r="F63" i="2"/>
  <c r="D123" i="2"/>
  <c r="C121" i="2"/>
  <c r="D122" i="2"/>
  <c r="F62" i="2"/>
  <c r="D120" i="2"/>
  <c r="H61" i="2"/>
  <c r="H119" i="2"/>
  <c r="E87" i="2"/>
  <c r="F61" i="2"/>
  <c r="H36" i="2"/>
  <c r="H40" i="2" s="1"/>
  <c r="E106" i="2"/>
  <c r="C62" i="2"/>
  <c r="C98" i="2"/>
  <c r="C108" i="2" s="1"/>
  <c r="C120" i="2"/>
  <c r="E125" i="2"/>
  <c r="F119" i="2"/>
  <c r="G98" i="2"/>
  <c r="G78" i="2"/>
  <c r="G88" i="2" s="1"/>
  <c r="C86" i="2"/>
  <c r="C106" i="2"/>
  <c r="H124" i="2"/>
  <c r="C64" i="2"/>
  <c r="C107" i="2"/>
  <c r="H118" i="2"/>
  <c r="C65" i="2"/>
  <c r="C123" i="2"/>
  <c r="H126" i="2"/>
  <c r="F124" i="2"/>
  <c r="F121" i="2"/>
  <c r="F118" i="2"/>
  <c r="F64" i="2"/>
  <c r="F60" i="2"/>
  <c r="G36" i="2"/>
  <c r="G41" i="2" s="1"/>
  <c r="H69" i="2"/>
  <c r="H70" i="2" s="1"/>
  <c r="H71" i="2" s="1"/>
  <c r="H72" i="2" s="1"/>
  <c r="H73" i="2" s="1"/>
  <c r="H74" i="2" s="1"/>
  <c r="H75" i="2" s="1"/>
  <c r="C124" i="2"/>
  <c r="F126" i="2"/>
  <c r="E124" i="2"/>
  <c r="E118" i="2"/>
  <c r="F36" i="2"/>
  <c r="F39" i="2" s="1"/>
  <c r="G69" i="2"/>
  <c r="G70" i="2" s="1"/>
  <c r="G71" i="2" s="1"/>
  <c r="C117" i="2"/>
  <c r="C125" i="2"/>
  <c r="E126" i="2"/>
  <c r="F120" i="2"/>
  <c r="F117" i="2"/>
  <c r="F127" i="2" s="1"/>
  <c r="F86" i="2"/>
  <c r="E36" i="2"/>
  <c r="E45" i="2" s="1"/>
  <c r="C60" i="2"/>
  <c r="C118" i="2"/>
  <c r="H125" i="2"/>
  <c r="E117" i="2"/>
  <c r="E127" i="2" s="1"/>
  <c r="H62" i="2"/>
  <c r="D36" i="2"/>
  <c r="D45" i="2" s="1"/>
  <c r="E69" i="2"/>
  <c r="E70" i="2" s="1"/>
  <c r="E71" i="2" s="1"/>
  <c r="D63" i="2"/>
  <c r="D97" i="2"/>
  <c r="D107" i="2" s="1"/>
  <c r="D106" i="2"/>
  <c r="D65" i="2"/>
  <c r="E60" i="2"/>
  <c r="E61" i="2"/>
  <c r="H127" i="2"/>
  <c r="G125" i="2"/>
  <c r="H120" i="2"/>
  <c r="E119" i="2"/>
  <c r="G117" i="2"/>
  <c r="F106" i="2"/>
  <c r="H97" i="2"/>
  <c r="G86" i="2"/>
  <c r="D78" i="2"/>
  <c r="H63" i="2"/>
  <c r="E62" i="2"/>
  <c r="G60" i="2"/>
  <c r="H123" i="2"/>
  <c r="E122" i="2"/>
  <c r="G120" i="2"/>
  <c r="E65" i="2"/>
  <c r="G63" i="2"/>
  <c r="G123" i="2"/>
  <c r="G126" i="2"/>
  <c r="D125" i="2"/>
  <c r="H121" i="2"/>
  <c r="E120" i="2"/>
  <c r="G118" i="2"/>
  <c r="D117" i="2"/>
  <c r="F107" i="2"/>
  <c r="H98" i="2"/>
  <c r="E97" i="2"/>
  <c r="G87" i="2"/>
  <c r="D86" i="2"/>
  <c r="F77" i="2"/>
  <c r="H64" i="2"/>
  <c r="E63" i="2"/>
  <c r="G61" i="2"/>
  <c r="D60" i="2"/>
  <c r="G121" i="2"/>
  <c r="G64" i="2"/>
  <c r="D77" i="2"/>
  <c r="D87" i="2" s="1"/>
  <c r="D126" i="2"/>
  <c r="H122" i="2"/>
  <c r="G119" i="2"/>
  <c r="H65" i="2"/>
  <c r="G62" i="2"/>
  <c r="G72" i="2" l="1"/>
  <c r="G73" i="2" s="1"/>
  <c r="G74" i="2" s="1"/>
  <c r="G75" i="2" s="1"/>
  <c r="G108" i="2"/>
  <c r="G112" i="2" s="1"/>
  <c r="E72" i="2"/>
  <c r="E73" i="2" s="1"/>
  <c r="E74" i="2" s="1"/>
  <c r="E75" i="2" s="1"/>
  <c r="D72" i="2"/>
  <c r="D73" i="2" s="1"/>
  <c r="D74" i="2" s="1"/>
  <c r="D75" i="2" s="1"/>
  <c r="C42" i="2"/>
  <c r="E128" i="2"/>
  <c r="E95" i="2"/>
  <c r="C45" i="2"/>
  <c r="C38" i="2"/>
  <c r="L37" i="2"/>
  <c r="L47" i="2" s="1"/>
  <c r="L38" i="2"/>
  <c r="L42" i="2"/>
  <c r="L46" i="2"/>
  <c r="L40" i="2"/>
  <c r="L44" i="2"/>
  <c r="L43" i="2"/>
  <c r="L41" i="2"/>
  <c r="L45" i="2"/>
  <c r="L39" i="2"/>
  <c r="C44" i="2"/>
  <c r="C37" i="2"/>
  <c r="K37" i="2"/>
  <c r="K40" i="2"/>
  <c r="K44" i="2"/>
  <c r="K38" i="2"/>
  <c r="K42" i="2"/>
  <c r="K46" i="2"/>
  <c r="K41" i="2"/>
  <c r="K39" i="2"/>
  <c r="K45" i="2"/>
  <c r="K43" i="2"/>
  <c r="C39" i="2"/>
  <c r="J37" i="2"/>
  <c r="J40" i="2"/>
  <c r="J44" i="2"/>
  <c r="J38" i="2"/>
  <c r="J42" i="2"/>
  <c r="J46" i="2"/>
  <c r="J43" i="2"/>
  <c r="J45" i="2"/>
  <c r="J41" i="2"/>
  <c r="J39" i="2"/>
  <c r="C40" i="2"/>
  <c r="C43" i="2"/>
  <c r="I37" i="2"/>
  <c r="I47" i="2" s="1"/>
  <c r="I40" i="2"/>
  <c r="I44" i="2"/>
  <c r="I38" i="2"/>
  <c r="I42" i="2"/>
  <c r="I46" i="2"/>
  <c r="I41" i="2"/>
  <c r="I45" i="2"/>
  <c r="I39" i="2"/>
  <c r="I43" i="2"/>
  <c r="G128" i="2"/>
  <c r="H108" i="2"/>
  <c r="H111" i="2" s="1"/>
  <c r="H130" i="2"/>
  <c r="C135" i="2"/>
  <c r="H88" i="2"/>
  <c r="F135" i="2"/>
  <c r="D134" i="2"/>
  <c r="C131" i="2"/>
  <c r="F112" i="2"/>
  <c r="G94" i="2"/>
  <c r="G91" i="2"/>
  <c r="G25" i="2" s="1"/>
  <c r="G95" i="2"/>
  <c r="G92" i="2"/>
  <c r="G89" i="2"/>
  <c r="H46" i="2"/>
  <c r="C129" i="2"/>
  <c r="C132" i="2"/>
  <c r="E94" i="2"/>
  <c r="F115" i="2"/>
  <c r="H41" i="2"/>
  <c r="H39" i="2"/>
  <c r="E135" i="2"/>
  <c r="H129" i="2"/>
  <c r="H107" i="2"/>
  <c r="F131" i="2"/>
  <c r="F134" i="2"/>
  <c r="C134" i="2"/>
  <c r="F114" i="2"/>
  <c r="H128" i="2"/>
  <c r="F113" i="2"/>
  <c r="C127" i="2"/>
  <c r="C133" i="2"/>
  <c r="F109" i="2"/>
  <c r="F46" i="2"/>
  <c r="G42" i="2"/>
  <c r="F41" i="2"/>
  <c r="F40" i="2"/>
  <c r="F38" i="2"/>
  <c r="F42" i="2"/>
  <c r="H38" i="2"/>
  <c r="H42" i="2"/>
  <c r="H43" i="2"/>
  <c r="H44" i="2"/>
  <c r="H45" i="2"/>
  <c r="H37" i="2"/>
  <c r="E91" i="2"/>
  <c r="E25" i="2" s="1"/>
  <c r="E93" i="2"/>
  <c r="C113" i="2"/>
  <c r="C111" i="2"/>
  <c r="C114" i="2"/>
  <c r="C110" i="2"/>
  <c r="C115" i="2"/>
  <c r="C109" i="2"/>
  <c r="C112" i="2"/>
  <c r="F130" i="2"/>
  <c r="G90" i="2"/>
  <c r="F110" i="2"/>
  <c r="D108" i="2"/>
  <c r="D109" i="2" s="1"/>
  <c r="G135" i="2"/>
  <c r="E133" i="2"/>
  <c r="G93" i="2"/>
  <c r="H133" i="2"/>
  <c r="G133" i="2"/>
  <c r="C130" i="2"/>
  <c r="C128" i="2"/>
  <c r="C88" i="2"/>
  <c r="C87" i="2"/>
  <c r="F133" i="2"/>
  <c r="D37" i="2"/>
  <c r="D38" i="2"/>
  <c r="D44" i="2"/>
  <c r="D46" i="2"/>
  <c r="D39" i="2"/>
  <c r="E37" i="2"/>
  <c r="E40" i="2"/>
  <c r="E38" i="2"/>
  <c r="E44" i="2"/>
  <c r="E46" i="2"/>
  <c r="E41" i="2"/>
  <c r="E39" i="2"/>
  <c r="E42" i="2"/>
  <c r="E43" i="2"/>
  <c r="G130" i="2"/>
  <c r="G127" i="2"/>
  <c r="D40" i="2"/>
  <c r="H132" i="2"/>
  <c r="H134" i="2"/>
  <c r="D43" i="2"/>
  <c r="F43" i="2"/>
  <c r="F44" i="2"/>
  <c r="F37" i="2"/>
  <c r="F45" i="2"/>
  <c r="D42" i="2"/>
  <c r="D41" i="2"/>
  <c r="F132" i="2"/>
  <c r="F128" i="2"/>
  <c r="G43" i="2"/>
  <c r="G40" i="2"/>
  <c r="G38" i="2"/>
  <c r="G46" i="2"/>
  <c r="G44" i="2"/>
  <c r="G39" i="2"/>
  <c r="G37" i="2"/>
  <c r="G45" i="2"/>
  <c r="F129" i="2"/>
  <c r="D88" i="2"/>
  <c r="E89" i="2"/>
  <c r="E92" i="2"/>
  <c r="E90" i="2"/>
  <c r="E129" i="2"/>
  <c r="G129" i="2"/>
  <c r="E108" i="2"/>
  <c r="E107" i="2"/>
  <c r="E131" i="2"/>
  <c r="G131" i="2"/>
  <c r="G132" i="2"/>
  <c r="E134" i="2"/>
  <c r="E132" i="2"/>
  <c r="H135" i="2"/>
  <c r="F88" i="2"/>
  <c r="F87" i="2"/>
  <c r="D129" i="2"/>
  <c r="D128" i="2"/>
  <c r="D130" i="2"/>
  <c r="D133" i="2"/>
  <c r="D127" i="2"/>
  <c r="D135" i="2"/>
  <c r="D131" i="2"/>
  <c r="D132" i="2"/>
  <c r="E130" i="2"/>
  <c r="G134" i="2"/>
  <c r="H131" i="2"/>
  <c r="C47" i="2" l="1"/>
  <c r="C48" i="2"/>
  <c r="E26" i="2"/>
  <c r="H26" i="2"/>
  <c r="G113" i="2"/>
  <c r="C26" i="2"/>
  <c r="G26" i="2"/>
  <c r="G115" i="2"/>
  <c r="F26" i="2"/>
  <c r="D26" i="2"/>
  <c r="G114" i="2"/>
  <c r="G110" i="2"/>
  <c r="G111" i="2"/>
  <c r="G109" i="2"/>
  <c r="H110" i="2"/>
  <c r="H112" i="2"/>
  <c r="H113" i="2"/>
  <c r="D112" i="2"/>
  <c r="L48" i="2"/>
  <c r="J52" i="2"/>
  <c r="I49" i="2"/>
  <c r="K51" i="2"/>
  <c r="K48" i="2"/>
  <c r="C53" i="2"/>
  <c r="D113" i="2"/>
  <c r="H114" i="2"/>
  <c r="I53" i="2"/>
  <c r="J47" i="2"/>
  <c r="H109" i="2"/>
  <c r="C50" i="2"/>
  <c r="I48" i="2"/>
  <c r="J55" i="2"/>
  <c r="K55" i="2"/>
  <c r="L49" i="2"/>
  <c r="C49" i="2"/>
  <c r="C55" i="2"/>
  <c r="C54" i="2"/>
  <c r="L51" i="2"/>
  <c r="J53" i="2"/>
  <c r="H115" i="2"/>
  <c r="D94" i="2"/>
  <c r="J50" i="2"/>
  <c r="K49" i="2"/>
  <c r="J51" i="2"/>
  <c r="K54" i="2"/>
  <c r="L55" i="2"/>
  <c r="K52" i="2"/>
  <c r="I55" i="2"/>
  <c r="L54" i="2"/>
  <c r="I50" i="2"/>
  <c r="J54" i="2"/>
  <c r="K47" i="2"/>
  <c r="L52" i="2"/>
  <c r="L53" i="2"/>
  <c r="K53" i="2"/>
  <c r="K50" i="2"/>
  <c r="I51" i="2"/>
  <c r="J48" i="2"/>
  <c r="L50" i="2"/>
  <c r="I52" i="2"/>
  <c r="I54" i="2"/>
  <c r="C51" i="2"/>
  <c r="C52" i="2"/>
  <c r="J49" i="2"/>
  <c r="D110" i="2"/>
  <c r="D115" i="2"/>
  <c r="D114" i="2"/>
  <c r="D111" i="2"/>
  <c r="D51" i="2"/>
  <c r="H94" i="2"/>
  <c r="H92" i="2"/>
  <c r="H93" i="2"/>
  <c r="H90" i="2"/>
  <c r="H95" i="2"/>
  <c r="H91" i="2"/>
  <c r="H25" i="2" s="1"/>
  <c r="H89" i="2"/>
  <c r="D48" i="2"/>
  <c r="D54" i="2"/>
  <c r="D49" i="2"/>
  <c r="G55" i="2"/>
  <c r="H47" i="2"/>
  <c r="H55" i="2"/>
  <c r="H52" i="2"/>
  <c r="H51" i="2"/>
  <c r="H54" i="2"/>
  <c r="H49" i="2"/>
  <c r="H48" i="2"/>
  <c r="G54" i="2"/>
  <c r="D53" i="2"/>
  <c r="H50" i="2"/>
  <c r="F52" i="2"/>
  <c r="D47" i="2"/>
  <c r="H53" i="2"/>
  <c r="F55" i="2"/>
  <c r="F50" i="2"/>
  <c r="E48" i="2"/>
  <c r="E53" i="2"/>
  <c r="C91" i="2"/>
  <c r="C25" i="2" s="1"/>
  <c r="C90" i="2"/>
  <c r="C89" i="2"/>
  <c r="C95" i="2"/>
  <c r="C94" i="2"/>
  <c r="C93" i="2"/>
  <c r="C92" i="2"/>
  <c r="G50" i="2"/>
  <c r="G53" i="2"/>
  <c r="G49" i="2"/>
  <c r="F49" i="2"/>
  <c r="F48" i="2"/>
  <c r="E49" i="2"/>
  <c r="G51" i="2"/>
  <c r="G48" i="2"/>
  <c r="F51" i="2"/>
  <c r="E51" i="2"/>
  <c r="F53" i="2"/>
  <c r="G47" i="2"/>
  <c r="E54" i="2"/>
  <c r="E50" i="2"/>
  <c r="E52" i="2"/>
  <c r="F54" i="2"/>
  <c r="G52" i="2"/>
  <c r="D55" i="2"/>
  <c r="D52" i="2"/>
  <c r="D50" i="2"/>
  <c r="E55" i="2"/>
  <c r="F47" i="2"/>
  <c r="E47" i="2"/>
  <c r="D89" i="2"/>
  <c r="D95" i="2"/>
  <c r="D92" i="2"/>
  <c r="D90" i="2"/>
  <c r="D93" i="2"/>
  <c r="D91" i="2"/>
  <c r="D25" i="2" s="1"/>
  <c r="E113" i="2"/>
  <c r="E110" i="2"/>
  <c r="E115" i="2"/>
  <c r="E109" i="2"/>
  <c r="E112" i="2"/>
  <c r="E114" i="2"/>
  <c r="E111" i="2"/>
  <c r="F90" i="2"/>
  <c r="F93" i="2"/>
  <c r="F95" i="2"/>
  <c r="F89" i="2"/>
  <c r="F92" i="2"/>
  <c r="F94" i="2"/>
  <c r="F91" i="2"/>
  <c r="F25" i="2" s="1"/>
  <c r="C24" i="2" l="1"/>
  <c r="C29" i="2" s="1"/>
  <c r="C30" i="2" s="1"/>
  <c r="L24" i="2"/>
  <c r="L29" i="2" s="1"/>
  <c r="L31" i="2" s="1"/>
  <c r="D24" i="2"/>
  <c r="D29" i="2" s="1"/>
  <c r="D31" i="2" s="1"/>
  <c r="J24" i="2"/>
  <c r="J29" i="2" s="1"/>
  <c r="J31" i="2" s="1"/>
  <c r="G24" i="2"/>
  <c r="G29" i="2" s="1"/>
  <c r="G30" i="2" s="1"/>
  <c r="K24" i="2"/>
  <c r="K29" i="2" s="1"/>
  <c r="K30" i="2" s="1"/>
  <c r="I24" i="2"/>
  <c r="I29" i="2" s="1"/>
  <c r="I31" i="2" s="1"/>
  <c r="H24" i="2"/>
  <c r="H29" i="2" s="1"/>
  <c r="H30" i="2" s="1"/>
  <c r="F24" i="2"/>
  <c r="F29" i="2" s="1"/>
  <c r="F30" i="2" s="1"/>
  <c r="E24" i="2"/>
  <c r="E29" i="2" s="1"/>
  <c r="E31" i="2" s="1"/>
  <c r="L30" i="2" l="1"/>
  <c r="G31" i="2"/>
  <c r="J30" i="2"/>
  <c r="K31" i="2"/>
  <c r="I30" i="2"/>
  <c r="H31" i="2"/>
  <c r="E30" i="2"/>
  <c r="F31" i="2"/>
  <c r="D30" i="2"/>
  <c r="C31" i="2"/>
</calcChain>
</file>

<file path=xl/sharedStrings.xml><?xml version="1.0" encoding="utf-8"?>
<sst xmlns="http://schemas.openxmlformats.org/spreadsheetml/2006/main" count="320" uniqueCount="286">
  <si>
    <t>Försäkring &amp; Underhåll NPV10</t>
  </si>
  <si>
    <t>Försäkring &amp; Underhåll NPV9</t>
  </si>
  <si>
    <t>Försäkring &amp; Underhåll NPV8</t>
  </si>
  <si>
    <t>Försäkring &amp; Underhåll NPV7</t>
  </si>
  <si>
    <t>Försäkring &amp; Underhåll NPV6</t>
  </si>
  <si>
    <t>Försäkring &amp; Underhåll NPV5</t>
  </si>
  <si>
    <t>Försäkring &amp; Underhåll NPV4</t>
  </si>
  <si>
    <t>Försäkring &amp; Underhåll NPV3</t>
  </si>
  <si>
    <t>Försäkring &amp; Underhåll NPV2</t>
  </si>
  <si>
    <t>Försäkring &amp; Underhåll NPV1</t>
  </si>
  <si>
    <t>Malus NPV10</t>
  </si>
  <si>
    <t>Malus NPV9</t>
  </si>
  <si>
    <t>Malus NPV8</t>
  </si>
  <si>
    <t>Malus NPV7</t>
  </si>
  <si>
    <t>Malus NPV6</t>
  </si>
  <si>
    <t>Malus NPV5</t>
  </si>
  <si>
    <t>Malus NPV4</t>
  </si>
  <si>
    <t>Malus NPV3</t>
  </si>
  <si>
    <t>Malus NPV2</t>
  </si>
  <si>
    <t>Malus NPV1</t>
  </si>
  <si>
    <t>Skatt NPV10</t>
  </si>
  <si>
    <t>Skatt NPV9</t>
  </si>
  <si>
    <t>Skatt NPV8</t>
  </si>
  <si>
    <t>Skatt NPV7</t>
  </si>
  <si>
    <t>Skatt NPV6</t>
  </si>
  <si>
    <t>Skatt NPV5</t>
  </si>
  <si>
    <t>Skatt NPV4</t>
  </si>
  <si>
    <t>Skatt NPV3</t>
  </si>
  <si>
    <t>Skatt NPV2</t>
  </si>
  <si>
    <t>Skatt NPV1</t>
  </si>
  <si>
    <t>Bränsle NPV10</t>
  </si>
  <si>
    <t>Bränsle NPV9</t>
  </si>
  <si>
    <t>Bränsle NPV8</t>
  </si>
  <si>
    <t>Bränsle NPV7</t>
  </si>
  <si>
    <t>Bränsle NPV6</t>
  </si>
  <si>
    <t>Bränsle NPV5</t>
  </si>
  <si>
    <t>Bränsle NPV4</t>
  </si>
  <si>
    <t>Bränsle NPV3</t>
  </si>
  <si>
    <t>Bränsle NPV2</t>
  </si>
  <si>
    <t>Bränsle NPV1</t>
  </si>
  <si>
    <t>Bonus Malus - Bonus (kr)</t>
  </si>
  <si>
    <t>Beräknat andrahandsvärde (kr)</t>
  </si>
  <si>
    <t>Försäkring &amp; Underhåll (kr)</t>
  </si>
  <si>
    <t>Skatt (kr)</t>
  </si>
  <si>
    <t>Bränslekostnader (kr)</t>
  </si>
  <si>
    <t>(Inköp - andrahandsvärde - bonus)</t>
  </si>
  <si>
    <t>Kapitalkostnader (kr)</t>
  </si>
  <si>
    <t>Fylls i automatiskt</t>
  </si>
  <si>
    <t>Andrahandsvärde - 
Manuellt (kr)</t>
  </si>
  <si>
    <t>Underhåll (kr/år)</t>
  </si>
  <si>
    <t>Försäkring  (kr/år)</t>
  </si>
  <si>
    <t>Laddstolpe inköp (kr)</t>
  </si>
  <si>
    <t>Inköpspris  (kr)</t>
  </si>
  <si>
    <t>Förbrukning  (bränsle/mil)</t>
  </si>
  <si>
    <t>Utsläpp  (g CO2/km)</t>
  </si>
  <si>
    <t>El</t>
  </si>
  <si>
    <t>Bensin</t>
  </si>
  <si>
    <t>Biodiesel</t>
  </si>
  <si>
    <t>Bränsle</t>
  </si>
  <si>
    <t>Ja</t>
  </si>
  <si>
    <t>Nybilsbonus</t>
  </si>
  <si>
    <t>VW Golf</t>
  </si>
  <si>
    <t>Kia e-Niro Advance</t>
  </si>
  <si>
    <t>Bilmodell</t>
  </si>
  <si>
    <t>Fyll i själv</t>
  </si>
  <si>
    <t>Skatt efter 3 år</t>
  </si>
  <si>
    <t>E</t>
  </si>
  <si>
    <t>D</t>
  </si>
  <si>
    <t>Multiplikator</t>
  </si>
  <si>
    <t>&lt;</t>
  </si>
  <si>
    <t>kr/kg</t>
  </si>
  <si>
    <t>Biogas</t>
  </si>
  <si>
    <t>Biogasbonus</t>
  </si>
  <si>
    <t>kr/l</t>
  </si>
  <si>
    <t>Aggressiv</t>
  </si>
  <si>
    <t xml:space="preserve"> 0 - 95</t>
  </si>
  <si>
    <t>CO2 avdrag (kr /g CO2/km)</t>
  </si>
  <si>
    <t>Diesel</t>
  </si>
  <si>
    <t>Hur upplever du din körstil:</t>
  </si>
  <si>
    <t>Nej</t>
  </si>
  <si>
    <t>Normal</t>
  </si>
  <si>
    <t>Bränsletillägg (kr/g CO2)</t>
  </si>
  <si>
    <t>Koldioxidskatt</t>
  </si>
  <si>
    <t>CO2 gräns (g CO2/km)</t>
  </si>
  <si>
    <t>Hur många år tänker du äga bilen:</t>
  </si>
  <si>
    <t>Försiktig</t>
  </si>
  <si>
    <t>Miljötillägg</t>
  </si>
  <si>
    <t>Grundbelopp</t>
  </si>
  <si>
    <t>Max bonus (kr)</t>
  </si>
  <si>
    <t>kr/kWh</t>
  </si>
  <si>
    <t>Hur många mil kör du per år:</t>
  </si>
  <si>
    <t>Körstil</t>
  </si>
  <si>
    <t>kr</t>
  </si>
  <si>
    <t>Malus Diesel</t>
  </si>
  <si>
    <t>g CO2 / km</t>
  </si>
  <si>
    <t>Malus</t>
  </si>
  <si>
    <t>Bonus</t>
  </si>
  <si>
    <t>C</t>
  </si>
  <si>
    <t>Enhet</t>
  </si>
  <si>
    <t>Pris</t>
  </si>
  <si>
    <t>Bränsletyper</t>
  </si>
  <si>
    <t>B</t>
  </si>
  <si>
    <t>Kördata och ägande</t>
  </si>
  <si>
    <t>A</t>
  </si>
  <si>
    <t>Kort om modellen</t>
  </si>
  <si>
    <t>Fyll i data om bilarna</t>
  </si>
  <si>
    <t>All data i del D fylls i själv av användaren</t>
  </si>
  <si>
    <t>Modellen har tagits fram för att underlätta individers bilköp med syftet att kunna jämföra kostnader mellan olika modeller enligt "Total cost of ownership" principen</t>
  </si>
  <si>
    <t>Bildatan hämtas med fördel på leverantörernas hemsida, kontakta annars en återförsäljare</t>
  </si>
  <si>
    <t>Arbetet har utförts på Högskolan i Gävle av Peder Kjellen, inom projektet RATT-X, som syftar till att öka andelen hållbara transporter i Gävleborgsregionen</t>
  </si>
  <si>
    <t>Ett stort tack till projektets finansiärer:</t>
  </si>
  <si>
    <t>Laddstople:</t>
  </si>
  <si>
    <t>Priset för laddstolpe varierar beroende på laddhastighet och ligger kring 5 000 - 15 000 kr plus installation</t>
  </si>
  <si>
    <t>Naturvårdsverket erbjuder "Ladda bilen" stöd för privat laddning vilket motsvarar 50%</t>
  </si>
  <si>
    <t>Upp till 10 000 kr för privatpersoner och 15 000 kr för företag (per laddplats)</t>
  </si>
  <si>
    <t>Försäkring:</t>
  </si>
  <si>
    <t>Försäkringen beror på vilken bil man köper, vem som köper bilen och vart bilägaren bor</t>
  </si>
  <si>
    <t>Har man tillgång till ett registreringsnummer går det att jämföra försäkringspriser,</t>
  </si>
  <si>
    <t>annars erbjuder</t>
  </si>
  <si>
    <t>bilsvar.se</t>
  </si>
  <si>
    <t>en schablonberäkning för varje modell</t>
  </si>
  <si>
    <t>Fyll i data om ditt ägandeskap</t>
  </si>
  <si>
    <t>Underhåll:</t>
  </si>
  <si>
    <t xml:space="preserve"> gör schablonberäkning för varje modell</t>
  </si>
  <si>
    <t>Antal mil:</t>
  </si>
  <si>
    <t>En svensk bil går i snitt lite mindre än 1 500 mil per år</t>
  </si>
  <si>
    <t>Miltalet används för att beräkna bränslekostnaderna</t>
  </si>
  <si>
    <t xml:space="preserve">Andrahandsvärde </t>
  </si>
  <si>
    <t>VIKTIGT!</t>
  </si>
  <si>
    <t xml:space="preserve"> - manuellt:</t>
  </si>
  <si>
    <t>År:</t>
  </si>
  <si>
    <t>Antal år används för att beräkna totala driftskostnader och andrahandsvärdet på bilen</t>
  </si>
  <si>
    <t>Modellen fungerar bara upp till 10 år</t>
  </si>
  <si>
    <t>Ett manuellt värde ersätter det beräknade värdet</t>
  </si>
  <si>
    <t>Formeln utgår från nya bilar, för begagnade bilar minskar värdet mindre år över år</t>
  </si>
  <si>
    <t>Körstil:</t>
  </si>
  <si>
    <t xml:space="preserve">Körstilen påverkas av hur snabbt du kör och hur mycket du gasar och bromsar. </t>
  </si>
  <si>
    <t>Det påverkar i sin tur bränsleförbrukningen.</t>
  </si>
  <si>
    <t>Det går att välja mellan, "försiktigt", "normalt" och "aggressivt"</t>
  </si>
  <si>
    <t>Data som beräknas av modellen</t>
  </si>
  <si>
    <t>Fyll i aktuella värden eller antaganden om bränslepriserna</t>
  </si>
  <si>
    <t>Fälten i avsnitt E bör lämnas, modellen fyller i alla värden själv</t>
  </si>
  <si>
    <t>Bränslepriserna påverkar bränslekostnaderna</t>
  </si>
  <si>
    <t>Fyll i värde för ränta</t>
  </si>
  <si>
    <t>Ersättning för miljöbil, baseras på CO2 (g/km) utsläpp, enligt Transportstyrelsen</t>
  </si>
  <si>
    <t>Svenska Bonus Malus</t>
  </si>
  <si>
    <t>Räntan används för att göra en nuvärdesberäkning</t>
  </si>
  <si>
    <t>I klassisk ekonomisk teori anges diskonteringsräntan som "förväntad avkastning på kapital" eller "riskfri ränta + inflation"</t>
  </si>
  <si>
    <t>Riskfri ränta anges vanligtvis i 10 årig statsobligation vilket i dagsläget är negativ men ligger vanligtvis mellan 3 - 5%</t>
  </si>
  <si>
    <t>Sveriges inflationsmål ligger på 2% men är idagsläget närmare 1%</t>
  </si>
  <si>
    <t>Beräknas årligen enligt "antal mil * förbrukning * bränslepris"</t>
  </si>
  <si>
    <t>Räntan påverkar framförallt andrahandsvärdet på bilen men även de årliga driftskostnaderna</t>
  </si>
  <si>
    <t>Bränsle Y1</t>
  </si>
  <si>
    <t>Bränsle Y2</t>
  </si>
  <si>
    <t>Bränsle Y3</t>
  </si>
  <si>
    <t>Bränsle Y4</t>
  </si>
  <si>
    <t>Bränsle Y5</t>
  </si>
  <si>
    <t>Bränsle Y6</t>
  </si>
  <si>
    <t>Bränsle Y7</t>
  </si>
  <si>
    <t>Bränsle Y8</t>
  </si>
  <si>
    <t>Bränsle Y9</t>
  </si>
  <si>
    <t>Bränsle Y10</t>
  </si>
  <si>
    <t>Skatt Y1</t>
  </si>
  <si>
    <t>Skatt Y2</t>
  </si>
  <si>
    <t>Skatt Y3</t>
  </si>
  <si>
    <t>Skatt Y4</t>
  </si>
  <si>
    <t>Skatt Y5</t>
  </si>
  <si>
    <t>Skatt Y6</t>
  </si>
  <si>
    <t>Skatt Y7</t>
  </si>
  <si>
    <t>Skatt Y8</t>
  </si>
  <si>
    <t>Skatt Y9</t>
  </si>
  <si>
    <t>Skatt Y10</t>
  </si>
  <si>
    <t>Malus Y1</t>
  </si>
  <si>
    <t>Malus Y2</t>
  </si>
  <si>
    <t>Malus Y3</t>
  </si>
  <si>
    <t>Malus Y4</t>
  </si>
  <si>
    <t>Malus Y5</t>
  </si>
  <si>
    <t>Malus Y6</t>
  </si>
  <si>
    <t>Malus Y7</t>
  </si>
  <si>
    <t>Malus Y8</t>
  </si>
  <si>
    <t>Malus Y9</t>
  </si>
  <si>
    <t>Malus Y10</t>
  </si>
  <si>
    <t>Försäkring &amp; Underhåll Y1</t>
  </si>
  <si>
    <t>Försäkring &amp; Underhåll Y2</t>
  </si>
  <si>
    <t>Försäkring &amp; Underhåll Y3</t>
  </si>
  <si>
    <t>Försäkring &amp; Underhåll Y4</t>
  </si>
  <si>
    <t>Försäkring &amp; Underhåll Y5</t>
  </si>
  <si>
    <t>Försäkring &amp; Underhåll Y6</t>
  </si>
  <si>
    <t>Försäkring &amp; Underhåll Y7</t>
  </si>
  <si>
    <t>Försäkring &amp; Underhåll Y8</t>
  </si>
  <si>
    <t>Försäkring &amp; Underhåll Y9</t>
  </si>
  <si>
    <t>Försäkring &amp; Underhåll Y10</t>
  </si>
  <si>
    <t>Gammal bil Y1</t>
  </si>
  <si>
    <t>Gammal bil Y2</t>
  </si>
  <si>
    <t>Gammal bil Y3</t>
  </si>
  <si>
    <t>Gammal bil Y4</t>
  </si>
  <si>
    <t>Gammal bil Y5</t>
  </si>
  <si>
    <t>Gammal bil Y6</t>
  </si>
  <si>
    <t>Gammal bil Y7</t>
  </si>
  <si>
    <t>Gammal bil Y8</t>
  </si>
  <si>
    <t>Gammal bil Y9</t>
  </si>
  <si>
    <t>Gammal bil Y10</t>
  </si>
  <si>
    <t>Gammal bil NPV1</t>
  </si>
  <si>
    <t>Gammal bil NPV2</t>
  </si>
  <si>
    <t>Gammal bil NPV3</t>
  </si>
  <si>
    <t>Gammal bil NPV4</t>
  </si>
  <si>
    <t>Gammal bil NPV5</t>
  </si>
  <si>
    <t>Gammal bil NPV6</t>
  </si>
  <si>
    <t>Gammal bil NPV7</t>
  </si>
  <si>
    <t>Gammal bil NPV8</t>
  </si>
  <si>
    <t>Gammal bil NPV9</t>
  </si>
  <si>
    <t>Gammal bil NPV10</t>
  </si>
  <si>
    <t>Kostnad per månad (kr)</t>
  </si>
  <si>
    <t>Kostnad per mil (kr)</t>
  </si>
  <si>
    <t>TOTALA KOSTNADER (kr)</t>
  </si>
  <si>
    <t>Ägande (år)</t>
  </si>
  <si>
    <t>Förbrukning:</t>
  </si>
  <si>
    <t>Andrahandsvärdet bör skrivas in manuellt om en begagnad bil ska jämföras</t>
  </si>
  <si>
    <t>Kan hämtas från tillverkare eller återförsäljares hemsida. Kan även hämtas på:</t>
  </si>
  <si>
    <t>Tänk på att förbrukningen är ett genomsnitt</t>
  </si>
  <si>
    <t>För en laddhybrid är det t.ex svårt att uppskatta den verkliga genomsnittsförbrukningen eftersom det beror på hur mycket det är möjligt att köra på elmotorn. Någon som generellt sätt kör längre sträckor kommer att ha en högre genomsnittsförbrukning, medan någon som nästan bara kör på elmotorn kommer ha lägre förbrukning</t>
  </si>
  <si>
    <t>Kontantinsats (kr)</t>
  </si>
  <si>
    <t>Räntekostnader (kr)</t>
  </si>
  <si>
    <t>Billånsränta:</t>
  </si>
  <si>
    <t>Diskonteringsränta:</t>
  </si>
  <si>
    <t>Används för att illustrera pengars värdeminskning över tid</t>
  </si>
  <si>
    <t>Används för att ta fram räntekostnaderna för ett billån</t>
  </si>
  <si>
    <t>Antar 3 års avbetalning, antar också att ingen amortering görs under lånets löptid</t>
  </si>
  <si>
    <t>Tar inte hänsyn till återbetalning av lånet i förtid, både återbetalning och amortering sänker räntekostnaderna för billånet</t>
  </si>
  <si>
    <t>Kontantinsats:</t>
  </si>
  <si>
    <t>Handpenning på bilköpet, det antas att det tas ett billån för resterande summa</t>
  </si>
  <si>
    <t>Används för att beräkna räntekostnaderna, räntesatsen ställs in i avsnitt C, "Billånsränta"</t>
  </si>
  <si>
    <t>Kapitalkostnader</t>
  </si>
  <si>
    <t xml:space="preserve">Bränslekostnader </t>
  </si>
  <si>
    <t xml:space="preserve">Skatt </t>
  </si>
  <si>
    <t>Andrahandsvärde</t>
  </si>
  <si>
    <t>Bonus Malus - Bonus</t>
  </si>
  <si>
    <t>Beskattning baserat på utsläpp av CO2 (g/km) - inkluderar kostnad för Malus första 3 åren</t>
  </si>
  <si>
    <t>Alla fälten beräknar den totala kostnaden över hela ägarskapstiden</t>
  </si>
  <si>
    <t>Undantagen är kostnad per månad och kostnad per mil som är ett genomsnitt av totalkostnaden</t>
  </si>
  <si>
    <t>Vätgas</t>
  </si>
  <si>
    <t>Räntekostnader</t>
  </si>
  <si>
    <t>Värdena avrundas till närmaste 10-tal kr</t>
  </si>
  <si>
    <t>Tesla Model 3</t>
  </si>
  <si>
    <t>Renault Zoe Go</t>
  </si>
  <si>
    <t>Volvo S90</t>
  </si>
  <si>
    <t xml:space="preserve">Nissan Qashqai 
(automat) </t>
  </si>
  <si>
    <t>Nybilsköp</t>
  </si>
  <si>
    <t xml:space="preserve">Ja/Nej - Vid "Ja", kommer bilen att inkluderas i Bonus Malus-beräkningar </t>
  </si>
  <si>
    <t xml:space="preserve">VW Golf TGI
(Gasbil) </t>
  </si>
  <si>
    <t>Etanol</t>
  </si>
  <si>
    <t>Räntekostnader NPV1</t>
  </si>
  <si>
    <t>Räntekostnader NPV2</t>
  </si>
  <si>
    <t>Räntekostnader NPV3</t>
  </si>
  <si>
    <t>Räntekostnader NPV4</t>
  </si>
  <si>
    <t>Räntekostnader NPV5</t>
  </si>
  <si>
    <t>Räntekostnader NPV6</t>
  </si>
  <si>
    <t>Räntekostnader NPV7</t>
  </si>
  <si>
    <t>Räntekostnader NPV8</t>
  </si>
  <si>
    <t>Räntekostnader NPV9</t>
  </si>
  <si>
    <t>Räntekostnader NPV10</t>
  </si>
  <si>
    <t>Amortering Y1</t>
  </si>
  <si>
    <t>Amortering Y2</t>
  </si>
  <si>
    <t>Amortering Y3</t>
  </si>
  <si>
    <t>Amortering Y4</t>
  </si>
  <si>
    <t>Amortering Y5</t>
  </si>
  <si>
    <t>Amortering Y6</t>
  </si>
  <si>
    <t>Amortering Y7</t>
  </si>
  <si>
    <t>Amortering Y8</t>
  </si>
  <si>
    <t>Amortering Y9</t>
  </si>
  <si>
    <t>Amortering Y10</t>
  </si>
  <si>
    <t>Lånebelopp</t>
  </si>
  <si>
    <t>Gräns för grönt billån (Swedbank) (g CO2/km)</t>
  </si>
  <si>
    <t>- Kostnaden baseras på skillnaden mellan inköpspriset och kontantinsatsen.</t>
  </si>
  <si>
    <t>- Modellen gör även avdrag för bonusvärdet. Notera att bonusen inte betalas ut tidigast 6 månader efter nybilsinköp. Däremot kan bonusen användas för att delavbetala billånet</t>
  </si>
  <si>
    <t xml:space="preserve">- Räntekostnaderna antar en rak avbetalning över hela ägandeskapet, vilket innebär att lånet amorteras </t>
  </si>
  <si>
    <t>med ett fast belopp varje år. Räntan och amorteringen antas betalas en gång om året</t>
  </si>
  <si>
    <t>= Inköp - andrahandsvärde - bonus</t>
  </si>
  <si>
    <t>Grön billånsränta</t>
  </si>
  <si>
    <t>Grön billånsränta:</t>
  </si>
  <si>
    <t>För att premiera inköp bilar med låga utsläpp erbjuder vissa banker ett lägre billån för vissa biltyper.</t>
  </si>
  <si>
    <t>Swedbank erbjuder exempelvis i dagsläget (2020-10-11) en ränta för bilar med utsläpp under 50 g / CO2 km på ungefär 3%</t>
  </si>
  <si>
    <t>Har bilen utsläpp under 50 g/CO2, används automatiskt den gröna billånsräntan</t>
  </si>
  <si>
    <t>Beräknas automatiskt (från Raustad, 2017) , manuellt ifyllt värde i avsnitt D ersätter det beräknade värdet i totalkostnadskalkylen</t>
  </si>
  <si>
    <t>Modellen beräknar andrahandvärdet enligt empirisk formel (Raustad, 2017). Modellen gäller i första hand elbilar, stickprov har visat att det stämmer ganska bra överens med traditionella bilar. Om något så är det troligt att värdet för bensin och dieselbilar sjunker snabbare</t>
  </si>
  <si>
    <t xml:space="preserve">&lt; Fyll i själv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</si>
</sst>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_-* #,##0.000_-;\-* #,##0.000_-;_-* &quot;-&quot;??_-;_-@_-"/>
    <numFmt numFmtId="166" formatCode="_-* #,##0.0_-;\-* #,##0.0_-;_-* &quot;-&quot;??_-;_-@_-"/>
    <numFmt numFmtId="167" formatCode="#,##0\ &quot;kr&quot;"/>
    <numFmt numFmtId="168" formatCode="_-* #,##0\ _k_r_-;\-* #,##0\ _k_r_-;_-* &quot;-&quot;??\ _k_r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bgColor indexed="64"/>
      </patternFill>
    </fill>
  </fills>
  <borders count="18">
    <border>
      <left/>
      <right/>
      <top/>
      <bottom/>
      <diagonal/>
    </border>
    <border>
      <left/>
      <right style="thin">
        <color indexed="64"/>
      </right>
      <top/>
      <bottom/>
      <diagonal/>
    </border>
    <border>
      <left/>
      <right style="thin">
        <color indexed="64"/>
      </right>
      <top style="thin">
        <color indexed="64"/>
      </top>
      <bottom/>
      <diagonal/>
    </border>
    <border>
      <left/>
      <right/>
      <top style="thick">
        <color auto="1"/>
      </top>
      <bottom/>
      <diagonal/>
    </border>
    <border>
      <left/>
      <right style="thin">
        <color indexed="64"/>
      </right>
      <top style="thick">
        <color auto="1"/>
      </top>
      <bottom/>
      <diagonal/>
    </border>
    <border>
      <left/>
      <right/>
      <top/>
      <bottom style="thin">
        <color indexed="64"/>
      </bottom>
      <diagonal/>
    </border>
    <border>
      <left/>
      <right style="thin">
        <color auto="1"/>
      </right>
      <top/>
      <bottom style="thin">
        <color auto="1"/>
      </bottom>
      <diagonal/>
    </border>
    <border>
      <left/>
      <right style="thick">
        <color auto="1"/>
      </right>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11">
    <xf numFmtId="0" fontId="0" fillId="0" borderId="0" xfId="0"/>
    <xf numFmtId="164" fontId="0" fillId="0" borderId="0" xfId="1" applyNumberFormat="1" applyFont="1"/>
    <xf numFmtId="164" fontId="0" fillId="0" borderId="0" xfId="1" applyNumberFormat="1" applyFont="1" applyFill="1" applyBorder="1" applyAlignment="1">
      <alignment horizontal="right"/>
    </xf>
    <xf numFmtId="164" fontId="0" fillId="0" borderId="0" xfId="1" applyNumberFormat="1" applyFont="1" applyAlignment="1" applyProtection="1">
      <alignment horizontal="center"/>
    </xf>
    <xf numFmtId="164" fontId="0" fillId="0" borderId="0" xfId="0" applyNumberFormat="1"/>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wrapText="1" indent="1"/>
    </xf>
    <xf numFmtId="164" fontId="2" fillId="0" borderId="1" xfId="1" applyNumberFormat="1" applyFont="1" applyBorder="1" applyAlignment="1">
      <alignment horizontal="right" vertical="center" wrapText="1" indent="1"/>
    </xf>
    <xf numFmtId="164" fontId="4" fillId="0" borderId="1" xfId="1" applyNumberFormat="1" applyFont="1" applyBorder="1" applyAlignment="1">
      <alignment horizontal="right" vertical="center" wrapText="1" indent="1"/>
    </xf>
    <xf numFmtId="164" fontId="0" fillId="0" borderId="4" xfId="1" applyNumberFormat="1" applyFont="1" applyBorder="1" applyAlignment="1">
      <alignment horizontal="right" wrapText="1" indent="1"/>
    </xf>
    <xf numFmtId="164" fontId="0" fillId="0" borderId="1" xfId="1" applyNumberFormat="1" applyFont="1" applyFill="1" applyBorder="1" applyAlignment="1">
      <alignment horizontal="right" vertical="center" wrapText="1" indent="1"/>
    </xf>
    <xf numFmtId="164" fontId="0" fillId="0" borderId="0" xfId="1" applyNumberFormat="1" applyFont="1" applyBorder="1" applyAlignment="1">
      <alignment horizontal="right"/>
    </xf>
    <xf numFmtId="164" fontId="0" fillId="0" borderId="6" xfId="1" applyNumberFormat="1" applyFont="1" applyBorder="1" applyAlignment="1">
      <alignment horizontal="right" vertical="center" wrapText="1" indent="1"/>
    </xf>
    <xf numFmtId="164" fontId="0" fillId="0" borderId="6" xfId="1" applyNumberFormat="1" applyFont="1" applyBorder="1"/>
    <xf numFmtId="164" fontId="0" fillId="0" borderId="5" xfId="1" applyNumberFormat="1" applyFont="1" applyBorder="1"/>
    <xf numFmtId="164" fontId="0" fillId="0" borderId="8" xfId="1" applyNumberFormat="1" applyFont="1" applyBorder="1"/>
    <xf numFmtId="164" fontId="0" fillId="4" borderId="0" xfId="1" applyNumberFormat="1" applyFont="1" applyFill="1"/>
    <xf numFmtId="164" fontId="0" fillId="4" borderId="0" xfId="1" applyNumberFormat="1" applyFont="1" applyFill="1" applyAlignment="1">
      <alignment horizontal="right"/>
    </xf>
    <xf numFmtId="164" fontId="0" fillId="0" borderId="1" xfId="1" applyNumberFormat="1" applyFont="1" applyBorder="1"/>
    <xf numFmtId="164" fontId="0" fillId="0" borderId="9" xfId="1" applyNumberFormat="1" applyFont="1" applyBorder="1" applyAlignment="1">
      <alignment horizontal="right"/>
    </xf>
    <xf numFmtId="166" fontId="0" fillId="0" borderId="6" xfId="1" applyNumberFormat="1" applyFont="1" applyBorder="1"/>
    <xf numFmtId="164" fontId="0" fillId="0" borderId="9" xfId="1" applyNumberFormat="1" applyFont="1" applyBorder="1"/>
    <xf numFmtId="9" fontId="0" fillId="0" borderId="1" xfId="2" applyFont="1" applyBorder="1"/>
    <xf numFmtId="164" fontId="0" fillId="0" borderId="10" xfId="1" applyNumberFormat="1" applyFont="1" applyBorder="1"/>
    <xf numFmtId="43" fontId="0" fillId="0" borderId="1" xfId="1" applyNumberFormat="1" applyFont="1" applyBorder="1"/>
    <xf numFmtId="164" fontId="0" fillId="0" borderId="11" xfId="1" applyNumberFormat="1" applyFont="1" applyBorder="1"/>
    <xf numFmtId="164" fontId="2" fillId="0" borderId="12" xfId="1" applyNumberFormat="1" applyFont="1" applyBorder="1"/>
    <xf numFmtId="164" fontId="0" fillId="0" borderId="2" xfId="1" applyNumberFormat="1" applyFont="1" applyBorder="1"/>
    <xf numFmtId="164" fontId="2" fillId="0" borderId="13" xfId="1" applyNumberFormat="1" applyFont="1" applyBorder="1"/>
    <xf numFmtId="164" fontId="2" fillId="0" borderId="2" xfId="1" applyNumberFormat="1" applyFont="1" applyBorder="1" applyAlignment="1">
      <alignment horizontal="center"/>
    </xf>
    <xf numFmtId="164" fontId="2" fillId="0" borderId="14" xfId="1" applyNumberFormat="1" applyFont="1" applyBorder="1" applyAlignment="1"/>
    <xf numFmtId="164" fontId="2" fillId="0" borderId="13" xfId="1" applyNumberFormat="1" applyFont="1" applyBorder="1" applyAlignment="1"/>
    <xf numFmtId="0" fontId="0" fillId="0" borderId="7" xfId="0" applyBorder="1"/>
    <xf numFmtId="0" fontId="0" fillId="0" borderId="0" xfId="0" applyBorder="1"/>
    <xf numFmtId="0" fontId="8" fillId="0" borderId="5" xfId="0" applyFont="1" applyBorder="1"/>
    <xf numFmtId="0" fontId="0" fillId="0" borderId="5" xfId="0" applyBorder="1"/>
    <xf numFmtId="0" fontId="3" fillId="5" borderId="0" xfId="0" applyFont="1" applyFill="1" applyAlignment="1">
      <alignment horizontal="center"/>
    </xf>
    <xf numFmtId="0" fontId="7" fillId="0" borderId="5" xfId="0" applyFont="1" applyBorder="1"/>
    <xf numFmtId="0" fontId="2" fillId="0" borderId="0" xfId="0" applyFont="1" applyBorder="1"/>
    <xf numFmtId="0" fontId="0" fillId="0" borderId="15" xfId="0" applyBorder="1"/>
    <xf numFmtId="0" fontId="0" fillId="0" borderId="16" xfId="0" applyBorder="1"/>
    <xf numFmtId="0" fontId="9" fillId="0" borderId="0" xfId="3"/>
    <xf numFmtId="0" fontId="0" fillId="0" borderId="0" xfId="0" applyAlignment="1">
      <alignment wrapText="1"/>
    </xf>
    <xf numFmtId="0" fontId="0" fillId="0" borderId="0" xfId="0" applyAlignment="1">
      <alignment vertical="top"/>
    </xf>
    <xf numFmtId="0" fontId="0" fillId="0" borderId="0" xfId="0" applyAlignment="1">
      <alignment vertical="center"/>
    </xf>
    <xf numFmtId="0" fontId="3" fillId="0" borderId="0" xfId="0" applyFont="1" applyAlignment="1">
      <alignment horizontal="center"/>
    </xf>
    <xf numFmtId="0" fontId="0" fillId="0" borderId="0" xfId="0" applyFill="1" applyBorder="1"/>
    <xf numFmtId="164" fontId="0" fillId="0" borderId="5" xfId="0" applyNumberFormat="1" applyBorder="1"/>
    <xf numFmtId="0" fontId="3" fillId="2" borderId="3" xfId="0" applyFont="1" applyFill="1" applyBorder="1" applyAlignment="1">
      <alignment vertical="center" wrapText="1"/>
    </xf>
    <xf numFmtId="0" fontId="3" fillId="3" borderId="0" xfId="0" applyFont="1" applyFill="1" applyAlignment="1">
      <alignment horizontal="left" vertical="center"/>
    </xf>
    <xf numFmtId="164" fontId="0" fillId="0" borderId="12" xfId="1" applyNumberFormat="1" applyFont="1" applyBorder="1"/>
    <xf numFmtId="164" fontId="6" fillId="0" borderId="1" xfId="1" applyNumberFormat="1" applyFont="1" applyBorder="1" applyAlignment="1">
      <alignment horizontal="right" vertical="center" wrapText="1" indent="1"/>
    </xf>
    <xf numFmtId="164" fontId="0" fillId="0" borderId="0" xfId="1" applyNumberFormat="1" applyFont="1" applyBorder="1"/>
    <xf numFmtId="166" fontId="0" fillId="0" borderId="0" xfId="1" applyNumberFormat="1" applyFont="1" applyBorder="1"/>
    <xf numFmtId="0" fontId="0" fillId="0" borderId="0" xfId="0" applyAlignment="1">
      <alignment horizontal="left" wrapText="1"/>
    </xf>
    <xf numFmtId="0" fontId="0" fillId="0" borderId="0" xfId="0" applyAlignment="1">
      <alignment horizontal="left"/>
    </xf>
    <xf numFmtId="164" fontId="0" fillId="0" borderId="0" xfId="1" applyNumberFormat="1" applyFont="1" applyBorder="1" applyAlignment="1">
      <alignment horizontal="right" wrapText="1" indent="1"/>
    </xf>
    <xf numFmtId="164" fontId="0" fillId="0" borderId="0" xfId="1" applyNumberFormat="1" applyFont="1" applyBorder="1" applyAlignment="1">
      <alignment horizontal="right" vertical="center" wrapText="1" indent="1"/>
    </xf>
    <xf numFmtId="0" fontId="9" fillId="0" borderId="0" xfId="3" applyAlignment="1">
      <alignment vertical="center"/>
    </xf>
    <xf numFmtId="0" fontId="3" fillId="4" borderId="0" xfId="0" applyFont="1" applyFill="1" applyAlignment="1">
      <alignment horizontal="left"/>
    </xf>
    <xf numFmtId="164" fontId="0" fillId="0" borderId="9" xfId="1" applyNumberFormat="1" applyFont="1" applyBorder="1" applyAlignment="1">
      <alignment horizontal="left"/>
    </xf>
    <xf numFmtId="164" fontId="0" fillId="0" borderId="0" xfId="1" applyNumberFormat="1" applyFont="1" applyBorder="1" applyAlignment="1">
      <alignment horizontal="left"/>
    </xf>
    <xf numFmtId="164" fontId="5" fillId="4" borderId="0" xfId="1" applyNumberFormat="1" applyFont="1" applyFill="1" applyAlignment="1">
      <alignment horizontal="center"/>
    </xf>
    <xf numFmtId="167" fontId="0" fillId="0" borderId="0" xfId="1" applyNumberFormat="1" applyFont="1" applyBorder="1" applyAlignment="1">
      <alignment horizontal="right" vertical="center"/>
    </xf>
    <xf numFmtId="167" fontId="0" fillId="0" borderId="3" xfId="1" applyNumberFormat="1" applyFont="1" applyBorder="1" applyAlignment="1">
      <alignment horizontal="right"/>
    </xf>
    <xf numFmtId="167" fontId="0" fillId="0" borderId="0" xfId="1" applyNumberFormat="1" applyFont="1" applyAlignment="1">
      <alignment horizontal="right" vertical="center"/>
    </xf>
    <xf numFmtId="167" fontId="0" fillId="0" borderId="0" xfId="1" applyNumberFormat="1" applyFont="1" applyAlignment="1">
      <alignment vertical="center"/>
    </xf>
    <xf numFmtId="167" fontId="0" fillId="0" borderId="5" xfId="1" applyNumberFormat="1" applyFont="1" applyBorder="1" applyAlignment="1">
      <alignment horizontal="right" vertical="center"/>
    </xf>
    <xf numFmtId="167" fontId="6" fillId="0" borderId="0" xfId="1" applyNumberFormat="1" applyFont="1" applyAlignment="1">
      <alignment horizontal="right" vertical="center"/>
    </xf>
    <xf numFmtId="164" fontId="0" fillId="4" borderId="0" xfId="1" applyNumberFormat="1" applyFont="1" applyFill="1" applyAlignment="1"/>
    <xf numFmtId="164" fontId="0" fillId="4" borderId="0" xfId="1" applyNumberFormat="1" applyFont="1" applyFill="1" applyProtection="1">
      <protection locked="0"/>
    </xf>
    <xf numFmtId="0" fontId="3" fillId="4" borderId="0" xfId="0" applyFont="1" applyFill="1" applyAlignment="1" applyProtection="1">
      <alignment horizontal="left"/>
      <protection locked="0"/>
    </xf>
    <xf numFmtId="164" fontId="7" fillId="4" borderId="5" xfId="1" applyNumberFormat="1" applyFont="1" applyFill="1" applyBorder="1" applyAlignment="1" applyProtection="1">
      <protection locked="0"/>
    </xf>
    <xf numFmtId="164" fontId="2" fillId="4" borderId="5" xfId="1" applyNumberFormat="1" applyFont="1" applyFill="1" applyBorder="1" applyAlignment="1" applyProtection="1">
      <alignment horizontal="right"/>
      <protection locked="0"/>
    </xf>
    <xf numFmtId="9" fontId="0" fillId="4" borderId="0" xfId="2" applyFont="1" applyFill="1" applyAlignment="1" applyProtection="1">
      <alignment horizontal="right"/>
      <protection locked="0"/>
    </xf>
    <xf numFmtId="164" fontId="5" fillId="4" borderId="0" xfId="1" applyNumberFormat="1" applyFont="1" applyFill="1" applyAlignment="1" applyProtection="1">
      <alignment horizontal="center"/>
      <protection locked="0"/>
    </xf>
    <xf numFmtId="164" fontId="0" fillId="4" borderId="0" xfId="1" applyNumberFormat="1" applyFont="1" applyFill="1" applyAlignment="1" applyProtection="1">
      <alignment horizontal="right"/>
      <protection locked="0"/>
    </xf>
    <xf numFmtId="43" fontId="0" fillId="4" borderId="0" xfId="1" applyNumberFormat="1" applyFont="1" applyFill="1" applyAlignment="1" applyProtection="1">
      <alignment horizontal="right"/>
      <protection locked="0"/>
    </xf>
    <xf numFmtId="9" fontId="0" fillId="4" borderId="0" xfId="2" applyFont="1" applyFill="1" applyProtection="1">
      <protection locked="0"/>
    </xf>
    <xf numFmtId="164" fontId="5" fillId="4" borderId="0" xfId="1" applyNumberFormat="1" applyFont="1" applyFill="1" applyAlignment="1" applyProtection="1">
      <alignment horizontal="right"/>
      <protection locked="0"/>
    </xf>
    <xf numFmtId="164" fontId="0" fillId="4" borderId="0" xfId="1" applyNumberFormat="1" applyFont="1" applyFill="1" applyAlignment="1" applyProtection="1">
      <protection locked="0"/>
    </xf>
    <xf numFmtId="164" fontId="0" fillId="0" borderId="5" xfId="1" applyNumberFormat="1" applyFont="1" applyBorder="1" applyAlignment="1" applyProtection="1">
      <alignment horizontal="right" vertical="center"/>
      <protection locked="0"/>
    </xf>
    <xf numFmtId="164" fontId="0" fillId="0" borderId="0" xfId="1" applyNumberFormat="1" applyFont="1" applyBorder="1" applyAlignment="1" applyProtection="1">
      <alignment horizontal="right" vertical="center"/>
      <protection locked="0"/>
    </xf>
    <xf numFmtId="165" fontId="0" fillId="0" borderId="0" xfId="1" applyNumberFormat="1" applyFont="1" applyBorder="1" applyAlignment="1" applyProtection="1">
      <alignment horizontal="right" vertical="center"/>
      <protection locked="0"/>
    </xf>
    <xf numFmtId="167" fontId="0" fillId="0" borderId="0" xfId="1" applyNumberFormat="1" applyFont="1" applyBorder="1" applyAlignment="1" applyProtection="1">
      <alignment horizontal="right" vertical="center"/>
      <protection locked="0"/>
    </xf>
    <xf numFmtId="164" fontId="0" fillId="0" borderId="5" xfId="1" applyNumberFormat="1" applyFont="1" applyBorder="1" applyAlignment="1" applyProtection="1">
      <alignment horizontal="right" vertical="center" wrapText="1"/>
      <protection locked="0"/>
    </xf>
    <xf numFmtId="0" fontId="0" fillId="0" borderId="0" xfId="0" applyAlignment="1">
      <alignment horizontal="left" wrapText="1"/>
    </xf>
    <xf numFmtId="164" fontId="0" fillId="0" borderId="0" xfId="1" applyNumberFormat="1" applyFont="1" applyBorder="1" applyAlignment="1">
      <alignment horizontal="left"/>
    </xf>
    <xf numFmtId="43" fontId="0" fillId="0" borderId="6" xfId="1" applyNumberFormat="1" applyFont="1" applyBorder="1"/>
    <xf numFmtId="164" fontId="0" fillId="0" borderId="17" xfId="1" applyNumberFormat="1" applyFont="1" applyBorder="1"/>
    <xf numFmtId="168" fontId="0" fillId="0" borderId="0" xfId="1" applyNumberFormat="1" applyFont="1"/>
    <xf numFmtId="168" fontId="0" fillId="0" borderId="5" xfId="1" applyNumberFormat="1" applyFont="1" applyBorder="1"/>
    <xf numFmtId="0" fontId="0" fillId="0" borderId="0" xfId="0" quotePrefix="1"/>
    <xf numFmtId="0" fontId="0" fillId="0" borderId="0" xfId="0" quotePrefix="1" applyAlignment="1">
      <alignment horizontal="left"/>
    </xf>
    <xf numFmtId="164" fontId="2" fillId="4" borderId="0" xfId="1" applyNumberFormat="1" applyFont="1" applyFill="1" applyProtection="1">
      <protection locked="0"/>
    </xf>
    <xf numFmtId="164" fontId="2" fillId="4" borderId="0" xfId="1" applyNumberFormat="1" applyFont="1" applyFill="1" applyAlignment="1" applyProtection="1">
      <protection locked="0"/>
    </xf>
    <xf numFmtId="0" fontId="0" fillId="0" borderId="0" xfId="0" applyAlignment="1">
      <alignment horizontal="left" vertical="center"/>
    </xf>
    <xf numFmtId="0" fontId="0" fillId="0" borderId="0" xfId="0" applyAlignment="1">
      <alignment horizontal="left" wrapText="1"/>
    </xf>
    <xf numFmtId="0" fontId="7" fillId="0" borderId="0" xfId="0" applyFont="1" applyAlignment="1">
      <alignment horizontal="center" vertical="center"/>
    </xf>
    <xf numFmtId="0" fontId="0" fillId="0" borderId="0" xfId="0" quotePrefix="1" applyAlignment="1">
      <alignment horizontal="left" wrapText="1"/>
    </xf>
    <xf numFmtId="0" fontId="3" fillId="2" borderId="0" xfId="0" applyFont="1" applyFill="1" applyBorder="1" applyAlignment="1">
      <alignment horizontal="center" vertical="center" wrapText="1"/>
    </xf>
    <xf numFmtId="164" fontId="0" fillId="0" borderId="9" xfId="1" applyNumberFormat="1" applyFont="1" applyBorder="1" applyAlignment="1">
      <alignment horizontal="left"/>
    </xf>
    <xf numFmtId="164" fontId="0" fillId="0" borderId="0" xfId="1" applyNumberFormat="1" applyFont="1" applyBorder="1" applyAlignment="1">
      <alignment horizontal="left"/>
    </xf>
    <xf numFmtId="164" fontId="2" fillId="0" borderId="13" xfId="1" applyNumberFormat="1" applyFont="1" applyBorder="1" applyAlignment="1">
      <alignment horizontal="left"/>
    </xf>
    <xf numFmtId="164" fontId="2" fillId="0" borderId="14" xfId="1" applyNumberFormat="1" applyFont="1" applyBorder="1" applyAlignment="1">
      <alignment horizontal="left"/>
    </xf>
    <xf numFmtId="0" fontId="3" fillId="3" borderId="0" xfId="0" applyFont="1" applyFill="1" applyAlignment="1">
      <alignment horizontal="center" vertical="center" wrapText="1"/>
    </xf>
    <xf numFmtId="0" fontId="3" fillId="3" borderId="15" xfId="0" applyFont="1" applyFill="1" applyBorder="1" applyAlignment="1">
      <alignment horizontal="center" vertical="center" wrapText="1"/>
    </xf>
    <xf numFmtId="164" fontId="5" fillId="4" borderId="0" xfId="1" applyNumberFormat="1" applyFont="1" applyFill="1" applyAlignment="1">
      <alignment horizontal="center"/>
    </xf>
    <xf numFmtId="164" fontId="0" fillId="0" borderId="8" xfId="1" applyNumberFormat="1" applyFont="1" applyBorder="1" applyAlignment="1">
      <alignment horizontal="left"/>
    </xf>
    <xf numFmtId="164" fontId="0" fillId="0" borderId="5" xfId="1" applyNumberFormat="1" applyFont="1" applyBorder="1" applyAlignment="1">
      <alignment horizontal="left"/>
    </xf>
    <xf numFmtId="164" fontId="7" fillId="4" borderId="5" xfId="1" applyNumberFormat="1"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561975</xdr:colOff>
      <xdr:row>5</xdr:row>
      <xdr:rowOff>133350</xdr:rowOff>
    </xdr:from>
    <xdr:to>
      <xdr:col>13</xdr:col>
      <xdr:colOff>296544</xdr:colOff>
      <xdr:row>10</xdr:row>
      <xdr:rowOff>121734</xdr:rowOff>
    </xdr:to>
    <xdr:pic>
      <xdr:nvPicPr>
        <xdr:cNvPr id="2" name="Picture 1" descr="\\hig-ad\personal\homes\My Pictures\Logotyps\EUlogo_eng_c_RGB.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489" r="9489"/>
        <a:stretch/>
      </xdr:blipFill>
      <xdr:spPr bwMode="auto">
        <a:xfrm>
          <a:off x="7324725" y="1285875"/>
          <a:ext cx="953769" cy="95377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291465</xdr:colOff>
      <xdr:row>5</xdr:row>
      <xdr:rowOff>20320</xdr:rowOff>
    </xdr:from>
    <xdr:to>
      <xdr:col>8</xdr:col>
      <xdr:colOff>219075</xdr:colOff>
      <xdr:row>9</xdr:row>
      <xdr:rowOff>188409</xdr:rowOff>
    </xdr:to>
    <xdr:pic>
      <xdr:nvPicPr>
        <xdr:cNvPr id="3" name="Picture 2" descr="\\hig-ad\personal\homes\My Pictures\Logotyps\Region Gävleborg koncernlogotyp_farg.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5" t="-36011" r="-7" b="-1"/>
        <a:stretch/>
      </xdr:blipFill>
      <xdr:spPr bwMode="auto">
        <a:xfrm>
          <a:off x="3396615" y="1172845"/>
          <a:ext cx="1756411" cy="9429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66675</xdr:colOff>
      <xdr:row>5</xdr:row>
      <xdr:rowOff>140970</xdr:rowOff>
    </xdr:from>
    <xdr:to>
      <xdr:col>11</xdr:col>
      <xdr:colOff>66675</xdr:colOff>
      <xdr:row>10</xdr:row>
      <xdr:rowOff>120464</xdr:rowOff>
    </xdr:to>
    <xdr:pic>
      <xdr:nvPicPr>
        <xdr:cNvPr id="4" name="Bildobjekt 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10" r="586"/>
        <a:stretch/>
      </xdr:blipFill>
      <xdr:spPr bwMode="auto">
        <a:xfrm>
          <a:off x="5610225" y="1293495"/>
          <a:ext cx="1219200" cy="94488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ortstyrelsen.se/bonusmalus" TargetMode="External"/><Relationship Id="rId7" Type="http://schemas.openxmlformats.org/officeDocument/2006/relationships/drawing" Target="../drawings/drawing1.xml"/><Relationship Id="rId2" Type="http://schemas.openxmlformats.org/officeDocument/2006/relationships/hyperlink" Target="https://www.bilsvar.se/" TargetMode="External"/><Relationship Id="rId1" Type="http://schemas.openxmlformats.org/officeDocument/2006/relationships/hyperlink" Target="https://www.bilsvar.se/" TargetMode="External"/><Relationship Id="rId6" Type="http://schemas.openxmlformats.org/officeDocument/2006/relationships/printerSettings" Target="../printerSettings/printerSettings1.bin"/><Relationship Id="rId5" Type="http://schemas.openxmlformats.org/officeDocument/2006/relationships/hyperlink" Target="https://www.transportstyrelsen.se/bonusmalus" TargetMode="External"/><Relationship Id="rId4" Type="http://schemas.openxmlformats.org/officeDocument/2006/relationships/hyperlink" Target="https://www.bilsvar.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zoomScale="70" zoomScaleNormal="70" workbookViewId="0">
      <selection activeCell="Z33" sqref="Z33"/>
    </sheetView>
  </sheetViews>
  <sheetFormatPr defaultColWidth="0" defaultRowHeight="0" customHeight="1" zeroHeight="1" x14ac:dyDescent="0.25"/>
  <cols>
    <col min="1" max="1" width="6.7109375" customWidth="1"/>
    <col min="2" max="2" width="19.7109375" customWidth="1"/>
    <col min="3" max="15" width="9.140625" customWidth="1"/>
    <col min="16" max="16" width="17.42578125" bestFit="1" customWidth="1"/>
    <col min="17" max="17" width="9.140625" customWidth="1"/>
    <col min="18" max="18" width="19.5703125" bestFit="1" customWidth="1"/>
    <col min="19" max="19" width="10.42578125" customWidth="1"/>
    <col min="20" max="20" width="5.28515625" customWidth="1"/>
    <col min="21" max="21" width="10.140625" bestFit="1" customWidth="1"/>
    <col min="22" max="25" width="9.140625" customWidth="1"/>
    <col min="26" max="27" width="10" customWidth="1"/>
    <col min="28" max="31" width="9.140625" customWidth="1"/>
    <col min="32" max="16384" width="9.140625" hidden="1"/>
  </cols>
  <sheetData>
    <row r="1" spans="1:30" ht="19.5" customHeight="1" x14ac:dyDescent="0.25">
      <c r="P1" s="32"/>
    </row>
    <row r="2" spans="1:30" ht="26.25" x14ac:dyDescent="0.4">
      <c r="A2" s="33"/>
      <c r="B2" s="34" t="s">
        <v>104</v>
      </c>
      <c r="C2" s="35"/>
      <c r="D2" s="35"/>
      <c r="E2" s="33"/>
      <c r="F2" s="33"/>
      <c r="G2" s="33"/>
      <c r="H2" s="33"/>
      <c r="I2" s="33"/>
      <c r="J2" s="33"/>
      <c r="K2" s="33"/>
      <c r="L2" s="33"/>
      <c r="M2" s="33"/>
      <c r="N2" s="33"/>
      <c r="O2" s="33"/>
      <c r="P2" s="32"/>
      <c r="R2" s="36" t="s">
        <v>67</v>
      </c>
      <c r="S2" s="37" t="s">
        <v>105</v>
      </c>
      <c r="T2" s="35"/>
      <c r="U2" s="35"/>
      <c r="V2" s="35"/>
      <c r="W2" s="35"/>
      <c r="X2" s="35"/>
    </row>
    <row r="3" spans="1:30" ht="15" x14ac:dyDescent="0.25">
      <c r="A3" s="33"/>
      <c r="B3" s="33"/>
      <c r="C3" s="33"/>
      <c r="D3" s="33"/>
      <c r="E3" s="33"/>
      <c r="F3" s="33"/>
      <c r="G3" s="33"/>
      <c r="H3" s="33"/>
      <c r="I3" s="33"/>
      <c r="J3" s="33"/>
      <c r="K3" s="33"/>
      <c r="L3" s="33"/>
      <c r="M3" s="33"/>
      <c r="N3" s="33"/>
      <c r="O3" s="33"/>
      <c r="P3" s="32"/>
      <c r="S3" t="s">
        <v>106</v>
      </c>
    </row>
    <row r="4" spans="1:30" ht="15" x14ac:dyDescent="0.25">
      <c r="A4" s="33"/>
      <c r="B4" s="33" t="s">
        <v>107</v>
      </c>
      <c r="C4" s="33"/>
      <c r="D4" s="33"/>
      <c r="E4" s="33"/>
      <c r="F4" s="33"/>
      <c r="G4" s="33"/>
      <c r="H4" s="33"/>
      <c r="I4" s="33"/>
      <c r="J4" s="33"/>
      <c r="K4" s="33"/>
      <c r="L4" s="33"/>
      <c r="M4" s="33"/>
      <c r="N4" s="33"/>
      <c r="O4" s="33"/>
      <c r="P4" s="32"/>
      <c r="S4" t="s">
        <v>108</v>
      </c>
    </row>
    <row r="5" spans="1:30" ht="15" x14ac:dyDescent="0.25">
      <c r="A5" s="33"/>
      <c r="B5" s="33" t="s">
        <v>109</v>
      </c>
      <c r="C5" s="33"/>
      <c r="D5" s="33"/>
      <c r="E5" s="33"/>
      <c r="F5" s="33"/>
      <c r="G5" s="33"/>
      <c r="H5" s="33"/>
      <c r="I5" s="33"/>
      <c r="J5" s="33"/>
      <c r="K5" s="33"/>
      <c r="L5" s="33"/>
      <c r="M5" s="33"/>
      <c r="N5" s="33"/>
      <c r="O5" s="33"/>
      <c r="P5" s="32"/>
    </row>
    <row r="6" spans="1:30" ht="15" x14ac:dyDescent="0.25">
      <c r="A6" s="33"/>
      <c r="B6" s="38" t="s">
        <v>110</v>
      </c>
      <c r="C6" s="33"/>
      <c r="D6" s="33"/>
      <c r="E6" s="33"/>
      <c r="F6" s="33"/>
      <c r="G6" s="33"/>
      <c r="H6" s="33"/>
      <c r="I6" s="33"/>
      <c r="J6" s="33"/>
      <c r="K6" s="33"/>
      <c r="L6" s="33"/>
      <c r="M6" s="33"/>
      <c r="N6" s="33"/>
      <c r="O6" s="33"/>
      <c r="P6" s="32"/>
      <c r="R6" t="s">
        <v>247</v>
      </c>
      <c r="S6" t="s">
        <v>248</v>
      </c>
      <c r="AA6" s="58" t="s">
        <v>145</v>
      </c>
    </row>
    <row r="7" spans="1:30" ht="15" x14ac:dyDescent="0.25">
      <c r="A7" s="33"/>
      <c r="B7" s="33"/>
      <c r="C7" s="33"/>
      <c r="D7" s="33"/>
      <c r="E7" s="33"/>
      <c r="F7" s="33"/>
      <c r="G7" s="33"/>
      <c r="H7" s="33"/>
      <c r="I7" s="33"/>
      <c r="J7" s="33"/>
      <c r="K7" s="33"/>
      <c r="L7" s="33"/>
      <c r="M7" s="33"/>
      <c r="N7" s="33"/>
      <c r="O7" s="33"/>
      <c r="P7" s="32"/>
    </row>
    <row r="8" spans="1:30" ht="15.75" customHeight="1" x14ac:dyDescent="0.25">
      <c r="A8" s="33"/>
      <c r="B8" s="33"/>
      <c r="C8" s="33"/>
      <c r="D8" s="33"/>
      <c r="E8" s="33"/>
      <c r="F8" s="33"/>
      <c r="G8" s="33"/>
      <c r="H8" s="33"/>
      <c r="I8" s="33"/>
      <c r="J8" s="33"/>
      <c r="K8" s="33"/>
      <c r="L8" s="33"/>
      <c r="M8" s="33"/>
      <c r="N8" s="33"/>
      <c r="O8" s="33"/>
      <c r="P8" s="32"/>
      <c r="R8" t="s">
        <v>216</v>
      </c>
      <c r="S8" t="s">
        <v>218</v>
      </c>
      <c r="AA8" s="41" t="s">
        <v>119</v>
      </c>
    </row>
    <row r="9" spans="1:30" ht="15" x14ac:dyDescent="0.25">
      <c r="A9" s="33"/>
      <c r="B9" s="33"/>
      <c r="C9" s="33"/>
      <c r="D9" s="33"/>
      <c r="E9" s="33"/>
      <c r="F9" s="33"/>
      <c r="G9" s="33"/>
      <c r="H9" s="33"/>
      <c r="I9" s="33"/>
      <c r="J9" s="33"/>
      <c r="K9" s="33"/>
      <c r="L9" s="33"/>
      <c r="M9" s="33"/>
      <c r="N9" s="33"/>
      <c r="O9" s="33"/>
      <c r="P9" s="32"/>
      <c r="S9" t="s">
        <v>219</v>
      </c>
    </row>
    <row r="10" spans="1:30" ht="15" x14ac:dyDescent="0.25">
      <c r="A10" s="33"/>
      <c r="B10" s="33"/>
      <c r="C10" s="33"/>
      <c r="D10" s="33"/>
      <c r="E10" s="33"/>
      <c r="F10" s="33"/>
      <c r="G10" s="33"/>
      <c r="H10" s="33"/>
      <c r="I10" s="33"/>
      <c r="J10" s="33"/>
      <c r="K10" s="33"/>
      <c r="L10" s="33"/>
      <c r="M10" s="33"/>
      <c r="N10" s="33"/>
      <c r="O10" s="33"/>
      <c r="P10" s="32"/>
      <c r="S10" s="97" t="s">
        <v>220</v>
      </c>
      <c r="T10" s="97"/>
      <c r="U10" s="97"/>
      <c r="V10" s="97"/>
      <c r="W10" s="97"/>
      <c r="X10" s="97"/>
      <c r="Y10" s="97"/>
      <c r="Z10" s="97"/>
      <c r="AA10" s="97"/>
      <c r="AB10" s="97"/>
      <c r="AC10" s="97"/>
      <c r="AD10" s="97"/>
    </row>
    <row r="11" spans="1:30" ht="32.25" customHeight="1" thickBot="1" x14ac:dyDescent="0.3">
      <c r="A11" s="39"/>
      <c r="B11" s="39"/>
      <c r="C11" s="39"/>
      <c r="D11" s="39"/>
      <c r="E11" s="39"/>
      <c r="F11" s="39"/>
      <c r="G11" s="39"/>
      <c r="H11" s="39"/>
      <c r="I11" s="39"/>
      <c r="J11" s="39"/>
      <c r="K11" s="39"/>
      <c r="L11" s="39"/>
      <c r="M11" s="39"/>
      <c r="N11" s="39"/>
      <c r="O11" s="39"/>
      <c r="P11" s="40"/>
      <c r="S11" s="97"/>
      <c r="T11" s="97"/>
      <c r="U11" s="97"/>
      <c r="V11" s="97"/>
      <c r="W11" s="97"/>
      <c r="X11" s="97"/>
      <c r="Y11" s="97"/>
      <c r="Z11" s="97"/>
      <c r="AA11" s="97"/>
      <c r="AB11" s="97"/>
      <c r="AC11" s="97"/>
      <c r="AD11" s="97"/>
    </row>
    <row r="12" spans="1:30" ht="11.25" customHeight="1" thickTop="1" x14ac:dyDescent="0.25">
      <c r="S12" s="54"/>
      <c r="T12" s="54"/>
      <c r="U12" s="54"/>
      <c r="V12" s="54"/>
      <c r="W12" s="54"/>
      <c r="X12" s="54"/>
      <c r="Y12" s="54"/>
      <c r="Z12" s="54"/>
      <c r="AA12" s="54"/>
      <c r="AB12" s="54"/>
      <c r="AC12" s="54"/>
    </row>
    <row r="13" spans="1:30" ht="23.25" x14ac:dyDescent="0.35">
      <c r="B13" s="36" t="s">
        <v>103</v>
      </c>
      <c r="C13" s="37" t="s">
        <v>121</v>
      </c>
      <c r="D13" s="35"/>
      <c r="E13" s="35"/>
      <c r="F13" s="35"/>
      <c r="G13" s="35"/>
      <c r="H13" s="35"/>
      <c r="I13" s="35"/>
      <c r="J13" s="35"/>
      <c r="R13" t="s">
        <v>229</v>
      </c>
      <c r="S13" s="55" t="s">
        <v>230</v>
      </c>
      <c r="T13" s="54"/>
      <c r="U13" s="54"/>
      <c r="V13" s="54"/>
      <c r="W13" s="54"/>
      <c r="X13" s="54"/>
      <c r="Y13" s="54"/>
      <c r="Z13" s="54"/>
      <c r="AA13" s="54"/>
      <c r="AB13" s="54"/>
      <c r="AC13" s="54"/>
    </row>
    <row r="14" spans="1:30" ht="23.25" customHeight="1" x14ac:dyDescent="0.25">
      <c r="B14" t="s">
        <v>124</v>
      </c>
      <c r="C14" t="s">
        <v>125</v>
      </c>
      <c r="S14" s="44" t="s">
        <v>231</v>
      </c>
    </row>
    <row r="15" spans="1:30" ht="15" x14ac:dyDescent="0.25">
      <c r="C15" t="s">
        <v>126</v>
      </c>
    </row>
    <row r="16" spans="1:30" ht="15" x14ac:dyDescent="0.25">
      <c r="R16" t="s">
        <v>111</v>
      </c>
      <c r="S16" t="s">
        <v>112</v>
      </c>
    </row>
    <row r="17" spans="2:29" ht="15" x14ac:dyDescent="0.25">
      <c r="B17" t="s">
        <v>130</v>
      </c>
      <c r="C17" t="s">
        <v>131</v>
      </c>
      <c r="S17" t="s">
        <v>113</v>
      </c>
    </row>
    <row r="18" spans="2:29" ht="15" x14ac:dyDescent="0.25">
      <c r="C18" t="s">
        <v>132</v>
      </c>
      <c r="S18" t="s">
        <v>114</v>
      </c>
    </row>
    <row r="19" spans="2:29" ht="15" x14ac:dyDescent="0.25"/>
    <row r="20" spans="2:29" ht="15" x14ac:dyDescent="0.25">
      <c r="B20" t="s">
        <v>135</v>
      </c>
      <c r="C20" t="s">
        <v>136</v>
      </c>
      <c r="R20" t="s">
        <v>115</v>
      </c>
      <c r="S20" t="s">
        <v>116</v>
      </c>
    </row>
    <row r="21" spans="2:29" ht="15" x14ac:dyDescent="0.25">
      <c r="C21" t="s">
        <v>137</v>
      </c>
      <c r="S21" t="s">
        <v>117</v>
      </c>
    </row>
    <row r="22" spans="2:29" ht="15" x14ac:dyDescent="0.25">
      <c r="C22" t="s">
        <v>138</v>
      </c>
      <c r="S22" t="s">
        <v>118</v>
      </c>
      <c r="U22" s="41" t="s">
        <v>119</v>
      </c>
      <c r="V22" t="s">
        <v>120</v>
      </c>
    </row>
    <row r="23" spans="2:29" ht="15" customHeight="1" x14ac:dyDescent="0.25">
      <c r="R23" t="s">
        <v>122</v>
      </c>
      <c r="S23" s="41" t="s">
        <v>119</v>
      </c>
      <c r="T23" t="s">
        <v>123</v>
      </c>
    </row>
    <row r="24" spans="2:29" ht="16.5" customHeight="1" x14ac:dyDescent="0.35">
      <c r="B24" s="36" t="s">
        <v>101</v>
      </c>
      <c r="C24" s="37" t="s">
        <v>140</v>
      </c>
      <c r="D24" s="35"/>
      <c r="E24" s="35"/>
      <c r="F24" s="35"/>
      <c r="G24" s="35"/>
      <c r="H24" s="35"/>
      <c r="I24" s="35"/>
      <c r="J24" s="35"/>
    </row>
    <row r="25" spans="2:29" ht="21.75" customHeight="1" x14ac:dyDescent="0.35">
      <c r="B25" s="45"/>
      <c r="C25" t="s">
        <v>142</v>
      </c>
      <c r="D25" s="33"/>
      <c r="E25" s="33"/>
      <c r="F25" s="33"/>
      <c r="G25" s="33"/>
      <c r="H25" s="33"/>
      <c r="R25" s="42" t="s">
        <v>127</v>
      </c>
      <c r="S25" s="98" t="s">
        <v>128</v>
      </c>
      <c r="T25" s="96" t="s">
        <v>217</v>
      </c>
      <c r="U25" s="96"/>
      <c r="V25" s="96"/>
      <c r="W25" s="96"/>
      <c r="X25" s="96"/>
      <c r="Y25" s="96"/>
      <c r="Z25" s="96"/>
      <c r="AA25" s="96"/>
      <c r="AB25" s="96"/>
    </row>
    <row r="26" spans="2:29" ht="23.25" customHeight="1" x14ac:dyDescent="0.25">
      <c r="R26" s="43" t="s">
        <v>129</v>
      </c>
      <c r="S26" s="98"/>
      <c r="T26" s="96"/>
      <c r="U26" s="96"/>
      <c r="V26" s="96"/>
      <c r="W26" s="96"/>
      <c r="X26" s="96"/>
      <c r="Y26" s="96"/>
      <c r="Z26" s="96"/>
      <c r="AA26" s="96"/>
      <c r="AB26" s="96"/>
    </row>
    <row r="27" spans="2:29" ht="23.25" x14ac:dyDescent="0.35">
      <c r="B27" s="36" t="s">
        <v>97</v>
      </c>
      <c r="C27" s="37" t="s">
        <v>143</v>
      </c>
      <c r="D27" s="35"/>
      <c r="E27" s="35"/>
      <c r="F27" s="35"/>
      <c r="G27" s="35"/>
      <c r="H27" s="35"/>
      <c r="I27" s="35"/>
      <c r="J27" s="35"/>
      <c r="T27" s="97" t="s">
        <v>284</v>
      </c>
      <c r="U27" s="97"/>
      <c r="V27" s="97"/>
      <c r="W27" s="97"/>
      <c r="X27" s="97"/>
      <c r="Y27" s="97"/>
      <c r="Z27" s="97"/>
      <c r="AA27" s="97"/>
      <c r="AB27" s="97"/>
      <c r="AC27" s="97"/>
    </row>
    <row r="28" spans="2:29" ht="23.25" customHeight="1" x14ac:dyDescent="0.25">
      <c r="B28" t="s">
        <v>224</v>
      </c>
      <c r="C28" s="46" t="s">
        <v>225</v>
      </c>
      <c r="T28" s="97"/>
      <c r="U28" s="97"/>
      <c r="V28" s="97"/>
      <c r="W28" s="97"/>
      <c r="X28" s="97"/>
      <c r="Y28" s="97"/>
      <c r="Z28" s="97"/>
      <c r="AA28" s="97"/>
      <c r="AB28" s="97"/>
      <c r="AC28" s="97"/>
    </row>
    <row r="29" spans="2:29" ht="15" x14ac:dyDescent="0.25">
      <c r="C29" s="46" t="s">
        <v>146</v>
      </c>
      <c r="T29" t="s">
        <v>133</v>
      </c>
    </row>
    <row r="30" spans="2:29" ht="23.25" customHeight="1" x14ac:dyDescent="0.25">
      <c r="C30" s="46" t="s">
        <v>151</v>
      </c>
      <c r="T30" s="43" t="s">
        <v>134</v>
      </c>
    </row>
    <row r="31" spans="2:29" ht="23.25" x14ac:dyDescent="0.35">
      <c r="R31" s="36" t="s">
        <v>66</v>
      </c>
      <c r="S31" s="37" t="s">
        <v>139</v>
      </c>
      <c r="T31" s="35"/>
      <c r="U31" s="35"/>
      <c r="V31" s="35"/>
      <c r="W31" s="35"/>
      <c r="X31" s="35"/>
    </row>
    <row r="32" spans="2:29" ht="15" x14ac:dyDescent="0.25">
      <c r="C32" s="46" t="s">
        <v>147</v>
      </c>
      <c r="S32" t="s">
        <v>238</v>
      </c>
    </row>
    <row r="33" spans="2:29" ht="15" x14ac:dyDescent="0.25">
      <c r="C33" s="46" t="s">
        <v>148</v>
      </c>
      <c r="S33" t="s">
        <v>239</v>
      </c>
    </row>
    <row r="34" spans="2:29" ht="15" x14ac:dyDescent="0.25">
      <c r="C34" s="46" t="s">
        <v>149</v>
      </c>
      <c r="S34" t="s">
        <v>141</v>
      </c>
    </row>
    <row r="35" spans="2:29" ht="15" x14ac:dyDescent="0.25">
      <c r="S35" t="s">
        <v>242</v>
      </c>
    </row>
    <row r="36" spans="2:29" ht="15" x14ac:dyDescent="0.25">
      <c r="B36" t="s">
        <v>223</v>
      </c>
      <c r="C36" t="s">
        <v>226</v>
      </c>
    </row>
    <row r="37" spans="2:29" ht="15" x14ac:dyDescent="0.25">
      <c r="C37" s="46" t="s">
        <v>227</v>
      </c>
      <c r="R37" s="56" t="s">
        <v>232</v>
      </c>
      <c r="S37" s="92" t="s">
        <v>277</v>
      </c>
    </row>
    <row r="38" spans="2:29" ht="15" x14ac:dyDescent="0.25">
      <c r="C38" s="46" t="s">
        <v>228</v>
      </c>
      <c r="R38" s="57" t="s">
        <v>233</v>
      </c>
      <c r="S38" t="s">
        <v>150</v>
      </c>
    </row>
    <row r="39" spans="2:29" ht="15" x14ac:dyDescent="0.25">
      <c r="R39" s="57" t="s">
        <v>234</v>
      </c>
      <c r="S39" t="s">
        <v>237</v>
      </c>
    </row>
    <row r="40" spans="2:29" ht="15" x14ac:dyDescent="0.25">
      <c r="B40" t="s">
        <v>278</v>
      </c>
      <c r="C40" t="s">
        <v>280</v>
      </c>
      <c r="R40" s="57" t="s">
        <v>241</v>
      </c>
      <c r="S40" s="92" t="s">
        <v>273</v>
      </c>
    </row>
    <row r="41" spans="2:29" ht="15" x14ac:dyDescent="0.25">
      <c r="C41" t="s">
        <v>281</v>
      </c>
      <c r="R41" s="57"/>
      <c r="S41" s="99" t="s">
        <v>274</v>
      </c>
      <c r="T41" s="97"/>
      <c r="U41" s="97"/>
      <c r="V41" s="97"/>
      <c r="W41" s="97"/>
      <c r="X41" s="97"/>
      <c r="Y41" s="97"/>
      <c r="Z41" s="97"/>
      <c r="AA41" s="97"/>
      <c r="AB41" s="97"/>
      <c r="AC41" s="97"/>
    </row>
    <row r="42" spans="2:29" ht="15" x14ac:dyDescent="0.25">
      <c r="C42" t="s">
        <v>282</v>
      </c>
      <c r="S42" s="97"/>
      <c r="T42" s="97"/>
      <c r="U42" s="97"/>
      <c r="V42" s="97"/>
      <c r="W42" s="97"/>
      <c r="X42" s="97"/>
      <c r="Y42" s="97"/>
      <c r="Z42" s="97"/>
      <c r="AA42" s="97"/>
      <c r="AB42" s="97"/>
      <c r="AC42" s="97"/>
    </row>
    <row r="43" spans="2:29" ht="15" x14ac:dyDescent="0.25">
      <c r="S43" s="93" t="s">
        <v>275</v>
      </c>
      <c r="T43" s="86"/>
      <c r="U43" s="86"/>
      <c r="V43" s="86"/>
      <c r="W43" s="86"/>
      <c r="X43" s="86"/>
      <c r="Y43" s="86"/>
      <c r="Z43" s="86"/>
      <c r="AA43" s="86"/>
      <c r="AB43" s="86"/>
      <c r="AC43" s="86"/>
    </row>
    <row r="44" spans="2:29" ht="15" x14ac:dyDescent="0.25">
      <c r="S44" s="55" t="s">
        <v>276</v>
      </c>
      <c r="T44" s="86"/>
      <c r="U44" s="86"/>
      <c r="V44" s="86"/>
      <c r="W44" s="86"/>
      <c r="X44" s="86"/>
      <c r="Y44" s="86"/>
      <c r="Z44" s="86"/>
      <c r="AA44" s="86"/>
      <c r="AB44" s="86"/>
      <c r="AC44" s="86"/>
    </row>
    <row r="45" spans="2:29" ht="15" x14ac:dyDescent="0.25">
      <c r="S45" s="86"/>
      <c r="T45" s="86"/>
      <c r="U45" s="86"/>
      <c r="V45" s="86"/>
      <c r="W45" s="86"/>
      <c r="X45" s="86"/>
      <c r="Y45" s="86"/>
      <c r="Z45" s="86"/>
      <c r="AA45" s="86"/>
      <c r="AB45" s="86"/>
      <c r="AC45" s="86"/>
    </row>
    <row r="46" spans="2:29" ht="15" x14ac:dyDescent="0.25">
      <c r="R46" s="57" t="s">
        <v>235</v>
      </c>
      <c r="S46" t="s">
        <v>283</v>
      </c>
    </row>
    <row r="47" spans="2:29" ht="30" x14ac:dyDescent="0.25">
      <c r="R47" s="57" t="s">
        <v>236</v>
      </c>
      <c r="S47" s="44" t="s">
        <v>144</v>
      </c>
      <c r="T47" s="44"/>
      <c r="U47" s="44"/>
      <c r="V47" s="44"/>
      <c r="W47" s="44"/>
      <c r="X47" s="44"/>
      <c r="Y47" s="44"/>
      <c r="Z47" s="44"/>
      <c r="AA47" s="44"/>
      <c r="AB47" s="58" t="s">
        <v>145</v>
      </c>
      <c r="AC47" s="44"/>
    </row>
    <row r="48" spans="2:29" ht="15" x14ac:dyDescent="0.25"/>
    <row r="49" ht="15"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customHeight="1" x14ac:dyDescent="0.25"/>
    <row r="78" ht="15" hidden="1" customHeight="1" x14ac:dyDescent="0.25"/>
    <row r="79" ht="15" hidden="1" customHeight="1" x14ac:dyDescent="0.25"/>
  </sheetData>
  <sheetProtection algorithmName="SHA-512" hashValue="IowSzBe0D3QGLQM2WjFjkEEcGAzWFQD/glnQxrWjCn0XoBmGRJsQ2um0qjjM55nSGelDOVs2ZA0sr8bSSv0o2w==" saltValue="mv2oGTXmBqqKWIyW0Ju22g==" spinCount="100000" sheet="1" objects="1" scenarios="1"/>
  <mergeCells count="5">
    <mergeCell ref="T25:AB26"/>
    <mergeCell ref="S10:AD11"/>
    <mergeCell ref="T27:AC28"/>
    <mergeCell ref="S25:S26"/>
    <mergeCell ref="S41:AC42"/>
  </mergeCells>
  <hyperlinks>
    <hyperlink ref="U22" r:id="rId1"/>
    <hyperlink ref="S23" r:id="rId2"/>
    <hyperlink ref="AB47" r:id="rId3"/>
    <hyperlink ref="AA8" r:id="rId4"/>
    <hyperlink ref="AA6"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showGridLines="0" showZeros="0" tabSelected="1" zoomScaleNormal="100" workbookViewId="0">
      <selection activeCell="K17" sqref="K17"/>
    </sheetView>
  </sheetViews>
  <sheetFormatPr defaultColWidth="0" defaultRowHeight="18.75" customHeight="1" zeroHeight="1" x14ac:dyDescent="0.25"/>
  <cols>
    <col min="1" max="1" width="20" customWidth="1"/>
    <col min="2" max="2" width="33.140625" bestFit="1" customWidth="1"/>
    <col min="3" max="12" width="18.140625" customWidth="1"/>
    <col min="13" max="13" width="1.5703125" hidden="1" customWidth="1"/>
    <col min="14" max="14" width="26.42578125" hidden="1" customWidth="1"/>
    <col min="15" max="15" width="16.85546875" hidden="1" customWidth="1"/>
    <col min="16" max="16" width="5.5703125" hidden="1" customWidth="1"/>
    <col min="17" max="17" width="9.140625" hidden="1" customWidth="1"/>
    <col min="18" max="18" width="14.7109375" hidden="1" customWidth="1"/>
    <col min="19" max="19" width="7" hidden="1" customWidth="1"/>
    <col min="20" max="16384" width="9.28515625" hidden="1"/>
  </cols>
  <sheetData>
    <row r="1" spans="1:19" ht="18.75" customHeight="1" x14ac:dyDescent="0.35">
      <c r="A1" s="59" t="s">
        <v>103</v>
      </c>
      <c r="B1" s="16"/>
      <c r="C1" s="70"/>
      <c r="D1" s="70"/>
      <c r="E1" s="71" t="s">
        <v>101</v>
      </c>
      <c r="F1" s="70"/>
      <c r="G1" s="70"/>
      <c r="H1" s="70"/>
      <c r="I1" s="71" t="s">
        <v>97</v>
      </c>
      <c r="J1" s="70"/>
      <c r="K1" s="70"/>
      <c r="L1" s="70"/>
      <c r="M1" s="1"/>
      <c r="N1" s="1"/>
      <c r="O1" s="1"/>
      <c r="P1" s="1"/>
      <c r="Q1" s="1"/>
      <c r="R1" s="1"/>
      <c r="S1" s="1"/>
    </row>
    <row r="2" spans="1:19" ht="18.75" customHeight="1" x14ac:dyDescent="0.3">
      <c r="A2" s="110" t="s">
        <v>102</v>
      </c>
      <c r="B2" s="110"/>
      <c r="C2" s="72"/>
      <c r="D2" s="70"/>
      <c r="E2" s="73" t="s">
        <v>100</v>
      </c>
      <c r="F2" s="73" t="s">
        <v>99</v>
      </c>
      <c r="G2" s="73" t="s">
        <v>98</v>
      </c>
      <c r="H2" s="70"/>
      <c r="I2" s="95" t="s">
        <v>224</v>
      </c>
      <c r="J2" s="74">
        <v>0.04</v>
      </c>
      <c r="K2" s="70"/>
      <c r="L2" s="70"/>
      <c r="M2" s="1"/>
      <c r="N2" s="28" t="s">
        <v>96</v>
      </c>
      <c r="O2" s="27"/>
      <c r="P2" s="1"/>
      <c r="Q2" s="103" t="s">
        <v>93</v>
      </c>
      <c r="R2" s="104"/>
      <c r="S2" s="29" t="s">
        <v>92</v>
      </c>
    </row>
    <row r="3" spans="1:19" ht="18.75" customHeight="1" x14ac:dyDescent="0.3">
      <c r="A3" s="107" t="s">
        <v>90</v>
      </c>
      <c r="B3" s="107"/>
      <c r="C3" s="75">
        <v>1500</v>
      </c>
      <c r="D3" s="70"/>
      <c r="E3" s="76" t="s">
        <v>55</v>
      </c>
      <c r="F3" s="77">
        <v>1.5</v>
      </c>
      <c r="G3" s="70" t="s">
        <v>89</v>
      </c>
      <c r="H3" s="70"/>
      <c r="I3" s="95" t="s">
        <v>223</v>
      </c>
      <c r="J3" s="78">
        <v>0.04</v>
      </c>
      <c r="K3" s="70"/>
      <c r="L3" s="70"/>
      <c r="M3" s="1"/>
      <c r="N3" s="21" t="s">
        <v>88</v>
      </c>
      <c r="O3" s="18">
        <v>60000</v>
      </c>
      <c r="P3" s="1"/>
      <c r="Q3" s="101" t="s">
        <v>86</v>
      </c>
      <c r="R3" s="102"/>
      <c r="S3" s="18">
        <v>250</v>
      </c>
    </row>
    <row r="4" spans="1:19" ht="18.75" customHeight="1" x14ac:dyDescent="0.3">
      <c r="A4" s="107" t="s">
        <v>84</v>
      </c>
      <c r="B4" s="107"/>
      <c r="C4" s="75">
        <v>3</v>
      </c>
      <c r="D4" s="70"/>
      <c r="E4" s="76" t="s">
        <v>56</v>
      </c>
      <c r="F4" s="77">
        <v>14.18</v>
      </c>
      <c r="G4" s="70" t="s">
        <v>73</v>
      </c>
      <c r="H4" s="70"/>
      <c r="I4" s="94" t="s">
        <v>279</v>
      </c>
      <c r="J4" s="78">
        <v>0.03</v>
      </c>
      <c r="K4" s="70"/>
      <c r="L4" s="70"/>
      <c r="M4" s="1"/>
      <c r="N4" s="21" t="s">
        <v>83</v>
      </c>
      <c r="O4" s="18">
        <v>70</v>
      </c>
      <c r="P4" s="1"/>
      <c r="Q4" s="101" t="s">
        <v>81</v>
      </c>
      <c r="R4" s="102"/>
      <c r="S4" s="24">
        <v>13.52</v>
      </c>
    </row>
    <row r="5" spans="1:19" ht="18.75" customHeight="1" x14ac:dyDescent="0.3">
      <c r="A5" s="107" t="s">
        <v>78</v>
      </c>
      <c r="B5" s="107"/>
      <c r="C5" s="79" t="s">
        <v>80</v>
      </c>
      <c r="D5" s="70"/>
      <c r="E5" s="76" t="s">
        <v>77</v>
      </c>
      <c r="F5" s="77">
        <v>13.78</v>
      </c>
      <c r="G5" s="70" t="s">
        <v>73</v>
      </c>
      <c r="H5" s="70"/>
      <c r="I5" s="70"/>
      <c r="J5" s="70"/>
      <c r="K5" s="70"/>
      <c r="L5" s="70"/>
      <c r="M5" s="1"/>
      <c r="N5" s="21" t="s">
        <v>76</v>
      </c>
      <c r="O5" s="18">
        <v>714</v>
      </c>
      <c r="P5" s="1"/>
      <c r="Q5" s="101"/>
      <c r="R5" s="102"/>
      <c r="S5" s="18"/>
    </row>
    <row r="6" spans="1:19" ht="18.75" customHeight="1" x14ac:dyDescent="0.3">
      <c r="A6" s="62"/>
      <c r="B6" s="62"/>
      <c r="C6" s="79"/>
      <c r="D6" s="70"/>
      <c r="E6" s="76" t="s">
        <v>57</v>
      </c>
      <c r="F6" s="77">
        <v>14.5</v>
      </c>
      <c r="G6" s="70" t="s">
        <v>73</v>
      </c>
      <c r="H6" s="70"/>
      <c r="I6" s="70"/>
      <c r="J6" s="70"/>
      <c r="K6" s="70"/>
      <c r="L6" s="70"/>
      <c r="M6" s="1"/>
      <c r="N6" s="21"/>
      <c r="O6" s="18"/>
      <c r="P6" s="1"/>
      <c r="Q6" s="60"/>
      <c r="R6" s="61"/>
      <c r="S6" s="18"/>
    </row>
    <row r="7" spans="1:19" ht="18.75" customHeight="1" x14ac:dyDescent="0.25">
      <c r="A7" s="16"/>
      <c r="B7" s="16"/>
      <c r="C7" s="70"/>
      <c r="D7" s="70"/>
      <c r="E7" s="76" t="s">
        <v>71</v>
      </c>
      <c r="F7" s="77">
        <v>19</v>
      </c>
      <c r="G7" s="70" t="s">
        <v>70</v>
      </c>
      <c r="H7" s="70"/>
      <c r="I7" s="70"/>
      <c r="J7" s="70"/>
      <c r="K7" s="70"/>
      <c r="L7" s="70"/>
      <c r="M7" s="1"/>
      <c r="N7" s="15" t="s">
        <v>72</v>
      </c>
      <c r="O7" s="13">
        <v>10000</v>
      </c>
      <c r="P7" s="1"/>
      <c r="Q7" s="108"/>
      <c r="R7" s="109"/>
      <c r="S7" s="88"/>
    </row>
    <row r="8" spans="1:19" ht="18.75" customHeight="1" x14ac:dyDescent="0.25">
      <c r="A8" s="16"/>
      <c r="B8" s="16"/>
      <c r="C8" s="70"/>
      <c r="D8" s="70"/>
      <c r="E8" s="76" t="s">
        <v>250</v>
      </c>
      <c r="F8" s="77">
        <v>13.7</v>
      </c>
      <c r="G8" s="70" t="s">
        <v>73</v>
      </c>
      <c r="H8" s="70"/>
      <c r="I8" s="70"/>
      <c r="J8" s="70"/>
      <c r="K8" s="70"/>
      <c r="L8" s="70"/>
      <c r="M8" s="1"/>
      <c r="N8" s="52"/>
      <c r="O8" s="52"/>
      <c r="P8" s="1"/>
      <c r="Q8" s="87"/>
      <c r="R8" s="87"/>
      <c r="S8" s="52"/>
    </row>
    <row r="9" spans="1:19" ht="18.75" customHeight="1" x14ac:dyDescent="0.25">
      <c r="A9" s="69"/>
      <c r="B9" s="69"/>
      <c r="C9" s="80"/>
      <c r="D9" s="70"/>
      <c r="E9" s="76" t="s">
        <v>240</v>
      </c>
      <c r="F9" s="77">
        <v>80</v>
      </c>
      <c r="G9" s="70" t="s">
        <v>70</v>
      </c>
      <c r="H9" s="70"/>
      <c r="I9" s="70"/>
      <c r="J9" s="70"/>
      <c r="K9" s="70"/>
      <c r="L9" s="70"/>
      <c r="M9" s="1"/>
      <c r="N9" s="1"/>
      <c r="O9" s="1"/>
      <c r="P9" s="1"/>
      <c r="Q9" s="1"/>
      <c r="R9" s="1"/>
      <c r="S9" s="1"/>
    </row>
    <row r="10" spans="1:19" ht="18.75" customHeight="1" x14ac:dyDescent="0.25">
      <c r="A10" s="17"/>
      <c r="B10" s="17"/>
      <c r="C10" s="76"/>
      <c r="D10" s="70"/>
      <c r="E10" s="70"/>
      <c r="F10" s="70"/>
      <c r="G10" s="70"/>
      <c r="H10" s="70"/>
      <c r="I10" s="76"/>
      <c r="J10" s="70"/>
      <c r="K10" s="70"/>
      <c r="L10" s="70"/>
      <c r="M10" s="1"/>
      <c r="N10" s="1"/>
      <c r="O10" s="1"/>
      <c r="P10" s="1"/>
      <c r="Q10" s="1"/>
      <c r="R10" s="1"/>
      <c r="S10" s="1"/>
    </row>
    <row r="11" spans="1:19" ht="30" x14ac:dyDescent="0.25">
      <c r="A11" s="49" t="s">
        <v>67</v>
      </c>
      <c r="B11" s="12" t="s">
        <v>63</v>
      </c>
      <c r="C11" s="81" t="s">
        <v>244</v>
      </c>
      <c r="D11" s="81" t="s">
        <v>61</v>
      </c>
      <c r="E11" s="85" t="s">
        <v>249</v>
      </c>
      <c r="F11" s="81" t="s">
        <v>243</v>
      </c>
      <c r="G11" s="81" t="s">
        <v>245</v>
      </c>
      <c r="H11" s="81" t="s">
        <v>62</v>
      </c>
      <c r="I11" s="85" t="s">
        <v>246</v>
      </c>
      <c r="J11" s="81" t="s">
        <v>285</v>
      </c>
      <c r="K11" s="81" t="s">
        <v>285</v>
      </c>
      <c r="L11" s="81" t="s">
        <v>285</v>
      </c>
      <c r="M11" s="1"/>
      <c r="N11" s="31" t="s">
        <v>95</v>
      </c>
      <c r="O11" s="30" t="s">
        <v>94</v>
      </c>
      <c r="P11" s="29" t="s">
        <v>92</v>
      </c>
      <c r="Q11" s="1"/>
      <c r="R11" s="28" t="s">
        <v>91</v>
      </c>
      <c r="S11" s="27"/>
    </row>
    <row r="12" spans="1:19" ht="18.75" customHeight="1" x14ac:dyDescent="0.25">
      <c r="A12" s="105" t="s">
        <v>64</v>
      </c>
      <c r="B12" s="6" t="s">
        <v>247</v>
      </c>
      <c r="C12" s="82" t="s">
        <v>59</v>
      </c>
      <c r="D12" s="82" t="s">
        <v>59</v>
      </c>
      <c r="E12" s="82" t="s">
        <v>59</v>
      </c>
      <c r="F12" s="82" t="s">
        <v>59</v>
      </c>
      <c r="G12" s="82" t="s">
        <v>59</v>
      </c>
      <c r="H12" s="82" t="s">
        <v>59</v>
      </c>
      <c r="I12" s="82" t="s">
        <v>59</v>
      </c>
      <c r="J12" s="82"/>
      <c r="K12" s="82"/>
      <c r="L12" s="82"/>
      <c r="M12" s="1"/>
      <c r="N12" s="101" t="s">
        <v>87</v>
      </c>
      <c r="O12" s="102"/>
      <c r="P12" s="18">
        <v>360</v>
      </c>
      <c r="Q12" s="1"/>
      <c r="R12" s="21" t="s">
        <v>85</v>
      </c>
      <c r="S12" s="22">
        <v>0.8</v>
      </c>
    </row>
    <row r="13" spans="1:19" ht="18.75" customHeight="1" x14ac:dyDescent="0.25">
      <c r="A13" s="105"/>
      <c r="B13" s="6" t="s">
        <v>58</v>
      </c>
      <c r="C13" s="82" t="s">
        <v>55</v>
      </c>
      <c r="D13" s="82" t="s">
        <v>56</v>
      </c>
      <c r="E13" s="82" t="s">
        <v>71</v>
      </c>
      <c r="F13" s="82" t="s">
        <v>55</v>
      </c>
      <c r="G13" s="82" t="s">
        <v>56</v>
      </c>
      <c r="H13" s="82" t="s">
        <v>55</v>
      </c>
      <c r="I13" s="82" t="s">
        <v>56</v>
      </c>
      <c r="J13" s="82"/>
      <c r="K13" s="82"/>
      <c r="L13" s="82"/>
      <c r="M13" s="1"/>
      <c r="N13" s="101" t="s">
        <v>82</v>
      </c>
      <c r="O13" s="102"/>
      <c r="P13" s="18">
        <v>0</v>
      </c>
      <c r="Q13" s="1"/>
      <c r="R13" s="21" t="s">
        <v>80</v>
      </c>
      <c r="S13" s="22">
        <v>1</v>
      </c>
    </row>
    <row r="14" spans="1:19" ht="18.75" customHeight="1" x14ac:dyDescent="0.25">
      <c r="A14" s="105"/>
      <c r="B14" s="6" t="s">
        <v>54</v>
      </c>
      <c r="C14" s="82">
        <v>0</v>
      </c>
      <c r="D14" s="82">
        <v>124</v>
      </c>
      <c r="E14" s="82">
        <v>116</v>
      </c>
      <c r="F14" s="82">
        <v>0</v>
      </c>
      <c r="G14" s="82">
        <v>153</v>
      </c>
      <c r="H14" s="82">
        <v>0</v>
      </c>
      <c r="I14" s="82">
        <v>161</v>
      </c>
      <c r="J14" s="82"/>
      <c r="K14" s="82"/>
      <c r="L14" s="82"/>
      <c r="M14" s="1"/>
      <c r="N14" s="19"/>
      <c r="O14" s="11" t="s">
        <v>75</v>
      </c>
      <c r="P14" s="18">
        <v>0</v>
      </c>
      <c r="Q14" s="1"/>
      <c r="R14" s="21" t="s">
        <v>74</v>
      </c>
      <c r="S14" s="22">
        <v>1.3</v>
      </c>
    </row>
    <row r="15" spans="1:19" ht="18.75" customHeight="1" x14ac:dyDescent="0.25">
      <c r="A15" s="105"/>
      <c r="B15" s="10" t="s">
        <v>53</v>
      </c>
      <c r="C15" s="83">
        <v>1.74</v>
      </c>
      <c r="D15" s="83">
        <v>0.55000000000000004</v>
      </c>
      <c r="E15" s="83">
        <v>0.36</v>
      </c>
      <c r="F15" s="83">
        <v>1.49</v>
      </c>
      <c r="G15" s="83">
        <v>0.67</v>
      </c>
      <c r="H15" s="83">
        <v>1.59</v>
      </c>
      <c r="I15" s="83">
        <v>0.71</v>
      </c>
      <c r="J15" s="83"/>
      <c r="K15" s="83"/>
      <c r="L15" s="83"/>
      <c r="M15" s="1"/>
      <c r="N15" s="19" t="s">
        <v>69</v>
      </c>
      <c r="O15" s="11">
        <v>95</v>
      </c>
      <c r="P15" s="18">
        <v>82</v>
      </c>
      <c r="Q15" s="1"/>
      <c r="R15" s="21"/>
      <c r="S15" s="18"/>
    </row>
    <row r="16" spans="1:19" ht="18.75" customHeight="1" x14ac:dyDescent="0.25">
      <c r="A16" s="105"/>
      <c r="B16" s="6" t="s">
        <v>52</v>
      </c>
      <c r="C16" s="84">
        <v>359990</v>
      </c>
      <c r="D16" s="84">
        <v>273900</v>
      </c>
      <c r="E16" s="84">
        <v>300900</v>
      </c>
      <c r="F16" s="84">
        <v>559000</v>
      </c>
      <c r="G16" s="84">
        <v>429000</v>
      </c>
      <c r="H16" s="84">
        <v>481900</v>
      </c>
      <c r="I16" s="84">
        <v>264700</v>
      </c>
      <c r="J16" s="84"/>
      <c r="K16" s="84"/>
      <c r="L16" s="84"/>
      <c r="M16" s="1"/>
      <c r="N16" s="19" t="s">
        <v>69</v>
      </c>
      <c r="O16" s="11">
        <v>140</v>
      </c>
      <c r="P16" s="18">
        <v>107</v>
      </c>
      <c r="Q16" s="1"/>
      <c r="R16" s="15" t="s">
        <v>68</v>
      </c>
      <c r="S16" s="20">
        <f>INDEX($S$12:$S$14,MATCH($C$5,$R$12:$R$14,0))</f>
        <v>1</v>
      </c>
    </row>
    <row r="17" spans="1:19" ht="18.75" customHeight="1" x14ac:dyDescent="0.25">
      <c r="A17" s="105"/>
      <c r="B17" s="6" t="s">
        <v>221</v>
      </c>
      <c r="C17" s="84">
        <f>C16*0.2</f>
        <v>71998</v>
      </c>
      <c r="D17" s="84">
        <f>D16*0.2</f>
        <v>54780</v>
      </c>
      <c r="E17" s="84">
        <f t="shared" ref="E17:K17" si="0">E16*0.2</f>
        <v>60180</v>
      </c>
      <c r="F17" s="84">
        <f t="shared" si="0"/>
        <v>111800</v>
      </c>
      <c r="G17" s="84">
        <f t="shared" si="0"/>
        <v>85800</v>
      </c>
      <c r="H17" s="84">
        <f t="shared" si="0"/>
        <v>96380</v>
      </c>
      <c r="I17" s="84">
        <f t="shared" si="0"/>
        <v>52940</v>
      </c>
      <c r="J17" s="84"/>
      <c r="K17" s="84"/>
      <c r="L17" s="84"/>
      <c r="M17" s="1"/>
      <c r="N17" s="19"/>
      <c r="O17" s="11"/>
      <c r="P17" s="18"/>
      <c r="Q17" s="1"/>
      <c r="R17" s="52"/>
      <c r="S17" s="53"/>
    </row>
    <row r="18" spans="1:19" ht="18.75" customHeight="1" x14ac:dyDescent="0.25">
      <c r="A18" s="105"/>
      <c r="B18" s="6" t="s">
        <v>51</v>
      </c>
      <c r="C18" s="84">
        <v>10000</v>
      </c>
      <c r="D18" s="84">
        <v>0</v>
      </c>
      <c r="E18" s="84"/>
      <c r="F18" s="84">
        <v>10000</v>
      </c>
      <c r="G18" s="84"/>
      <c r="H18" s="84">
        <v>10000</v>
      </c>
      <c r="I18" s="84"/>
      <c r="J18" s="84"/>
      <c r="K18" s="84"/>
      <c r="L18" s="84"/>
      <c r="N18" s="19"/>
      <c r="O18" s="11"/>
      <c r="P18" s="18"/>
      <c r="Q18" s="1"/>
      <c r="R18" s="1"/>
      <c r="S18" s="1"/>
    </row>
    <row r="19" spans="1:19" ht="18.75" customHeight="1" x14ac:dyDescent="0.25">
      <c r="A19" s="105"/>
      <c r="B19" s="6" t="s">
        <v>50</v>
      </c>
      <c r="C19" s="84">
        <v>4000</v>
      </c>
      <c r="D19" s="84">
        <v>4000</v>
      </c>
      <c r="E19" s="84">
        <v>4000</v>
      </c>
      <c r="F19" s="84">
        <v>4000</v>
      </c>
      <c r="G19" s="84">
        <v>4000</v>
      </c>
      <c r="H19" s="84">
        <v>4000</v>
      </c>
      <c r="I19" s="84">
        <v>4000</v>
      </c>
      <c r="J19" s="84"/>
      <c r="K19" s="84"/>
      <c r="L19" s="84"/>
      <c r="N19" s="15" t="s">
        <v>65</v>
      </c>
      <c r="O19" s="14">
        <v>111</v>
      </c>
      <c r="P19" s="13">
        <v>22</v>
      </c>
      <c r="Q19" s="1"/>
      <c r="R19" s="50" t="s">
        <v>215</v>
      </c>
      <c r="S19" s="1"/>
    </row>
    <row r="20" spans="1:19" ht="18.75" customHeight="1" x14ac:dyDescent="0.25">
      <c r="A20" s="105"/>
      <c r="B20" s="6" t="s">
        <v>49</v>
      </c>
      <c r="C20" s="84">
        <v>4500</v>
      </c>
      <c r="D20" s="84">
        <v>5500</v>
      </c>
      <c r="E20" s="84">
        <v>7500</v>
      </c>
      <c r="F20" s="84">
        <v>9000</v>
      </c>
      <c r="G20" s="84">
        <v>6500</v>
      </c>
      <c r="H20" s="84">
        <f>4000+2000</f>
        <v>6000</v>
      </c>
      <c r="I20" s="84">
        <v>7000</v>
      </c>
      <c r="J20" s="84"/>
      <c r="K20" s="84"/>
      <c r="L20" s="84"/>
      <c r="O20" s="1"/>
      <c r="P20" s="1"/>
      <c r="Q20" s="1"/>
      <c r="R20" s="25">
        <v>1</v>
      </c>
      <c r="S20" s="1"/>
    </row>
    <row r="21" spans="1:19" ht="30.75" thickBot="1" x14ac:dyDescent="0.3">
      <c r="A21" s="106"/>
      <c r="B21" s="6" t="s">
        <v>48</v>
      </c>
      <c r="C21" s="84"/>
      <c r="D21" s="84"/>
      <c r="E21" s="84"/>
      <c r="F21" s="84"/>
      <c r="G21" s="84"/>
      <c r="H21" s="84"/>
      <c r="I21" s="84"/>
      <c r="J21" s="84"/>
      <c r="K21" s="84"/>
      <c r="L21" s="84"/>
      <c r="N21" s="26" t="s">
        <v>60</v>
      </c>
      <c r="O21" s="1"/>
      <c r="P21" s="1"/>
      <c r="Q21" s="1"/>
      <c r="R21" s="25">
        <v>2</v>
      </c>
      <c r="S21" s="1"/>
    </row>
    <row r="22" spans="1:19" ht="18.75" customHeight="1" thickTop="1" x14ac:dyDescent="0.25">
      <c r="A22" s="48" t="s">
        <v>66</v>
      </c>
      <c r="B22" s="9" t="s">
        <v>46</v>
      </c>
      <c r="C22" s="64">
        <f t="shared" ref="C22:L22" si="1">ROUND(C16+C18-C34-IF(C21&gt;0,C21,C33),-1)</f>
        <v>113110</v>
      </c>
      <c r="D22" s="64">
        <f t="shared" si="1"/>
        <v>124110</v>
      </c>
      <c r="E22" s="64">
        <f t="shared" ref="E22:K22" si="2">ROUND(E16+E18-E34-IF(E21&gt;0,E21,E33),-1)</f>
        <v>126340</v>
      </c>
      <c r="F22" s="64">
        <f t="shared" si="2"/>
        <v>203290</v>
      </c>
      <c r="G22" s="64">
        <f t="shared" si="2"/>
        <v>194380</v>
      </c>
      <c r="H22" s="64">
        <f t="shared" si="2"/>
        <v>168350</v>
      </c>
      <c r="I22" s="64">
        <f t="shared" si="2"/>
        <v>119940</v>
      </c>
      <c r="J22" s="64">
        <f t="shared" si="2"/>
        <v>0</v>
      </c>
      <c r="K22" s="64">
        <f t="shared" si="2"/>
        <v>0</v>
      </c>
      <c r="L22" s="64">
        <f t="shared" si="1"/>
        <v>0</v>
      </c>
      <c r="M22" s="1"/>
      <c r="N22" s="25" t="s">
        <v>59</v>
      </c>
      <c r="O22" s="1"/>
      <c r="P22" s="1"/>
      <c r="Q22" s="1"/>
      <c r="R22" s="25">
        <v>3</v>
      </c>
      <c r="S22" s="1"/>
    </row>
    <row r="23" spans="1:19" ht="18.75" customHeight="1" x14ac:dyDescent="0.25">
      <c r="A23" s="100" t="s">
        <v>47</v>
      </c>
      <c r="B23" s="8" t="s">
        <v>45</v>
      </c>
      <c r="C23" s="65"/>
      <c r="D23" s="65"/>
      <c r="E23" s="65"/>
      <c r="F23" s="65"/>
      <c r="G23" s="65"/>
      <c r="H23" s="65"/>
      <c r="I23" s="65"/>
      <c r="J23" s="65"/>
      <c r="K23" s="65"/>
      <c r="L23" s="65"/>
      <c r="N23" s="23" t="s">
        <v>79</v>
      </c>
      <c r="R23" s="25">
        <v>4</v>
      </c>
    </row>
    <row r="24" spans="1:19" ht="18.75" customHeight="1" x14ac:dyDescent="0.25">
      <c r="A24" s="100"/>
      <c r="B24" s="6" t="s">
        <v>44</v>
      </c>
      <c r="C24" s="66">
        <f>ROUND(INDEX(C$46:C$55,$C$4),-1)</f>
        <v>11300</v>
      </c>
      <c r="D24" s="66">
        <f t="shared" ref="D24:L24" si="3">ROUND(INDEX(D$46:D$55,$C$4),-1)</f>
        <v>33760</v>
      </c>
      <c r="E24" s="66">
        <f t="shared" si="3"/>
        <v>29610</v>
      </c>
      <c r="F24" s="66">
        <f t="shared" si="3"/>
        <v>9680</v>
      </c>
      <c r="G24" s="66">
        <f t="shared" si="3"/>
        <v>41130</v>
      </c>
      <c r="H24" s="66">
        <f t="shared" si="3"/>
        <v>10330</v>
      </c>
      <c r="I24" s="66">
        <f t="shared" si="3"/>
        <v>43580</v>
      </c>
      <c r="J24" s="66">
        <f t="shared" si="3"/>
        <v>0</v>
      </c>
      <c r="K24" s="66">
        <f t="shared" si="3"/>
        <v>0</v>
      </c>
      <c r="L24" s="66">
        <f t="shared" si="3"/>
        <v>0</v>
      </c>
      <c r="M24" s="1"/>
      <c r="N24" s="1"/>
      <c r="O24" s="1"/>
      <c r="P24" s="1"/>
      <c r="Q24" s="1"/>
      <c r="R24" s="25">
        <v>5</v>
      </c>
      <c r="S24" s="1"/>
    </row>
    <row r="25" spans="1:19" ht="18.75" customHeight="1" x14ac:dyDescent="0.25">
      <c r="A25" s="100"/>
      <c r="B25" s="6" t="s">
        <v>43</v>
      </c>
      <c r="C25" s="66">
        <f t="shared" ref="C25:L25" si="4">ROUND(IF(C22=0,0,INDEX(C$66:C$75,$C$4)+IF(C$12=$N$22,INDEX(C$86:C$95,$C$4),INDEX(C$106:C$115,$C$4))),-1)</f>
        <v>1040</v>
      </c>
      <c r="D25" s="66">
        <f t="shared" si="4"/>
        <v>7900</v>
      </c>
      <c r="E25" s="66">
        <f t="shared" ref="E25:K25" si="5">ROUND(IF(E22=0,0,INDEX(E$66:E$75,$C$4)+IF(E$12=$N$22,INDEX(E$86:E$95,$C$4),INDEX(E$106:E$115,$C$4))),-1)</f>
        <v>1200</v>
      </c>
      <c r="F25" s="66">
        <f t="shared" si="5"/>
        <v>1040</v>
      </c>
      <c r="G25" s="66">
        <f t="shared" si="5"/>
        <v>15700</v>
      </c>
      <c r="H25" s="66">
        <f t="shared" si="5"/>
        <v>1040</v>
      </c>
      <c r="I25" s="66">
        <f t="shared" si="5"/>
        <v>18170</v>
      </c>
      <c r="J25" s="66">
        <f t="shared" si="5"/>
        <v>0</v>
      </c>
      <c r="K25" s="66">
        <f t="shared" si="5"/>
        <v>0</v>
      </c>
      <c r="L25" s="66">
        <f t="shared" si="4"/>
        <v>0</v>
      </c>
      <c r="M25" s="1"/>
      <c r="N25" s="28" t="s">
        <v>272</v>
      </c>
      <c r="O25" s="27"/>
      <c r="P25" s="1"/>
      <c r="Q25" s="1"/>
      <c r="R25" s="25">
        <v>6</v>
      </c>
      <c r="S25" s="1"/>
    </row>
    <row r="26" spans="1:19" ht="18.75" customHeight="1" x14ac:dyDescent="0.25">
      <c r="A26" s="100"/>
      <c r="B26" s="6" t="s">
        <v>42</v>
      </c>
      <c r="C26" s="63">
        <f t="shared" ref="C26:L26" si="6">ROUND(INDEX(C126:C135,$C$4),-1)</f>
        <v>24530</v>
      </c>
      <c r="D26" s="63">
        <f t="shared" si="6"/>
        <v>27420</v>
      </c>
      <c r="E26" s="63">
        <f t="shared" si="6"/>
        <v>33190</v>
      </c>
      <c r="F26" s="63">
        <f t="shared" si="6"/>
        <v>37520</v>
      </c>
      <c r="G26" s="63">
        <f t="shared" si="6"/>
        <v>30300</v>
      </c>
      <c r="H26" s="63">
        <f t="shared" si="6"/>
        <v>28860</v>
      </c>
      <c r="I26" s="63">
        <f t="shared" si="6"/>
        <v>31750</v>
      </c>
      <c r="J26" s="63">
        <f t="shared" si="6"/>
        <v>0</v>
      </c>
      <c r="K26" s="63">
        <f t="shared" si="6"/>
        <v>0</v>
      </c>
      <c r="L26" s="63">
        <f t="shared" si="6"/>
        <v>0</v>
      </c>
      <c r="M26" s="1"/>
      <c r="N26" s="15">
        <v>50</v>
      </c>
      <c r="O26" s="13"/>
      <c r="P26" s="1"/>
      <c r="Q26" s="1"/>
      <c r="R26" s="25">
        <v>7</v>
      </c>
      <c r="S26" s="1"/>
    </row>
    <row r="27" spans="1:19" ht="18.75" customHeight="1" x14ac:dyDescent="0.25">
      <c r="A27" s="100"/>
      <c r="B27" s="12" t="s">
        <v>222</v>
      </c>
      <c r="C27" s="67">
        <f>ROUND(SUM(C147:C156),-1)</f>
        <v>13330</v>
      </c>
      <c r="D27" s="67">
        <f t="shared" ref="D27:L27" si="7">ROUND(SUM(D147:D156),-1)</f>
        <v>17080</v>
      </c>
      <c r="E27" s="67">
        <f t="shared" si="7"/>
        <v>17990</v>
      </c>
      <c r="F27" s="67">
        <f t="shared" si="7"/>
        <v>22640</v>
      </c>
      <c r="G27" s="67">
        <f t="shared" si="7"/>
        <v>26760</v>
      </c>
      <c r="H27" s="67">
        <f t="shared" si="7"/>
        <v>19040</v>
      </c>
      <c r="I27" s="67">
        <f t="shared" si="7"/>
        <v>16510</v>
      </c>
      <c r="J27" s="67">
        <f t="shared" si="7"/>
        <v>0</v>
      </c>
      <c r="K27" s="67">
        <f t="shared" si="7"/>
        <v>0</v>
      </c>
      <c r="L27" s="67">
        <f t="shared" si="7"/>
        <v>0</v>
      </c>
      <c r="M27" s="1"/>
      <c r="N27" s="1"/>
      <c r="O27" s="1"/>
      <c r="P27" s="1"/>
      <c r="Q27" s="1"/>
      <c r="R27" s="25">
        <v>8</v>
      </c>
      <c r="S27" s="1"/>
    </row>
    <row r="28" spans="1:19" ht="18.75" customHeight="1" x14ac:dyDescent="0.25">
      <c r="A28" s="100"/>
      <c r="B28" s="6"/>
      <c r="C28" s="63"/>
      <c r="D28" s="63"/>
      <c r="E28" s="63"/>
      <c r="F28" s="63"/>
      <c r="G28" s="63"/>
      <c r="H28" s="63"/>
      <c r="I28" s="63"/>
      <c r="J28" s="63"/>
      <c r="K28" s="63"/>
      <c r="L28" s="63"/>
      <c r="M28" s="1"/>
      <c r="N28" s="1"/>
      <c r="O28" s="1"/>
      <c r="P28" s="1"/>
      <c r="Q28" s="1"/>
      <c r="R28" s="25">
        <v>9</v>
      </c>
      <c r="S28" s="1"/>
    </row>
    <row r="29" spans="1:19" ht="18.75" customHeight="1" x14ac:dyDescent="0.25">
      <c r="A29" s="100"/>
      <c r="B29" s="51" t="s">
        <v>214</v>
      </c>
      <c r="C29" s="68">
        <f t="shared" ref="C29:L29" si="8">ROUND(SUM(C22:C27),-1)</f>
        <v>163310</v>
      </c>
      <c r="D29" s="68">
        <f t="shared" si="8"/>
        <v>210270</v>
      </c>
      <c r="E29" s="68">
        <f t="shared" si="8"/>
        <v>208330</v>
      </c>
      <c r="F29" s="68">
        <f t="shared" si="8"/>
        <v>274170</v>
      </c>
      <c r="G29" s="68">
        <f t="shared" si="8"/>
        <v>308270</v>
      </c>
      <c r="H29" s="68">
        <f t="shared" si="8"/>
        <v>227620</v>
      </c>
      <c r="I29" s="68">
        <f t="shared" si="8"/>
        <v>229950</v>
      </c>
      <c r="J29" s="68">
        <f t="shared" si="8"/>
        <v>0</v>
      </c>
      <c r="K29" s="68">
        <f t="shared" si="8"/>
        <v>0</v>
      </c>
      <c r="L29" s="68">
        <f t="shared" si="8"/>
        <v>0</v>
      </c>
      <c r="M29" s="1"/>
      <c r="N29" s="1"/>
      <c r="O29" s="1"/>
      <c r="P29" s="1"/>
      <c r="Q29" s="1"/>
      <c r="R29" s="23">
        <v>10</v>
      </c>
      <c r="S29" s="1"/>
    </row>
    <row r="30" spans="1:19" ht="18.75" customHeight="1" x14ac:dyDescent="0.25">
      <c r="A30" s="100"/>
      <c r="B30" s="7" t="s">
        <v>212</v>
      </c>
      <c r="C30" s="65">
        <f t="shared" ref="C30:L30" si="9">ROUND(C29/$C$4/12,-1)</f>
        <v>4540</v>
      </c>
      <c r="D30" s="65">
        <f t="shared" si="9"/>
        <v>5840</v>
      </c>
      <c r="E30" s="65">
        <f t="shared" si="9"/>
        <v>5790</v>
      </c>
      <c r="F30" s="65">
        <f t="shared" si="9"/>
        <v>7620</v>
      </c>
      <c r="G30" s="65">
        <f t="shared" si="9"/>
        <v>8560</v>
      </c>
      <c r="H30" s="65">
        <f t="shared" si="9"/>
        <v>6320</v>
      </c>
      <c r="I30" s="65">
        <f t="shared" si="9"/>
        <v>6390</v>
      </c>
      <c r="J30" s="65">
        <f t="shared" si="9"/>
        <v>0</v>
      </c>
      <c r="K30" s="65">
        <f t="shared" si="9"/>
        <v>0</v>
      </c>
      <c r="L30" s="65">
        <f t="shared" si="9"/>
        <v>0</v>
      </c>
      <c r="M30" s="1"/>
      <c r="N30" s="1"/>
      <c r="O30" s="1"/>
      <c r="P30" s="1"/>
      <c r="Q30" s="1"/>
      <c r="S30" s="1"/>
    </row>
    <row r="31" spans="1:19" ht="18.75" customHeight="1" x14ac:dyDescent="0.25">
      <c r="A31" s="100"/>
      <c r="B31" s="7" t="s">
        <v>213</v>
      </c>
      <c r="C31" s="65">
        <f t="shared" ref="C31" si="10">C29/$C$3/$C$4</f>
        <v>36.291111111111114</v>
      </c>
      <c r="D31" s="65">
        <f t="shared" ref="D31:H31" si="11">D29/$C$3/$C$4</f>
        <v>46.726666666666667</v>
      </c>
      <c r="E31" s="65">
        <f t="shared" si="11"/>
        <v>46.295555555555552</v>
      </c>
      <c r="F31" s="65">
        <f t="shared" si="11"/>
        <v>60.926666666666669</v>
      </c>
      <c r="G31" s="65">
        <f t="shared" si="11"/>
        <v>68.504444444444445</v>
      </c>
      <c r="H31" s="65">
        <f t="shared" si="11"/>
        <v>50.582222222222221</v>
      </c>
      <c r="I31" s="65">
        <f t="shared" ref="I31:L31" si="12">I29/$C$3/$C$4</f>
        <v>51.1</v>
      </c>
      <c r="J31" s="65">
        <f t="shared" si="12"/>
        <v>0</v>
      </c>
      <c r="K31" s="65">
        <f t="shared" si="12"/>
        <v>0</v>
      </c>
      <c r="L31" s="65">
        <f t="shared" si="12"/>
        <v>0</v>
      </c>
      <c r="M31" s="1"/>
      <c r="N31" s="1"/>
      <c r="O31" s="1"/>
      <c r="P31" s="1"/>
      <c r="Q31" s="1"/>
      <c r="S31" s="1"/>
    </row>
    <row r="32" spans="1:19" ht="18.75" customHeight="1" x14ac:dyDescent="0.25">
      <c r="A32" s="100"/>
      <c r="B32" s="12"/>
      <c r="C32" s="67"/>
      <c r="D32" s="67"/>
      <c r="E32" s="67"/>
      <c r="F32" s="67"/>
      <c r="G32" s="67"/>
      <c r="H32" s="67"/>
      <c r="I32" s="67"/>
      <c r="J32" s="67"/>
      <c r="K32" s="67"/>
      <c r="L32" s="67"/>
      <c r="M32" s="1"/>
      <c r="N32" s="1"/>
      <c r="O32" s="1"/>
      <c r="P32" s="1"/>
      <c r="Q32" s="1"/>
      <c r="R32" s="1"/>
      <c r="S32" s="1"/>
    </row>
    <row r="33" spans="1:19" ht="18.75" customHeight="1" x14ac:dyDescent="0.25">
      <c r="A33" s="100"/>
      <c r="B33" s="6" t="s">
        <v>41</v>
      </c>
      <c r="C33" s="65">
        <f t="shared" ref="C33:L33" si="13">ROUND((C$16-C$16*(6*10^(-5)*$C$4^3-0.0038*$C$4^2+0.093*$C$4+0.1384))/(1+$J$2)^$C$4,-1)</f>
        <v>196880</v>
      </c>
      <c r="D33" s="65">
        <f t="shared" si="13"/>
        <v>149790</v>
      </c>
      <c r="E33" s="65">
        <f t="shared" si="13"/>
        <v>164560</v>
      </c>
      <c r="F33" s="65">
        <f t="shared" si="13"/>
        <v>305710</v>
      </c>
      <c r="G33" s="65">
        <f t="shared" si="13"/>
        <v>234620</v>
      </c>
      <c r="H33" s="65">
        <f t="shared" si="13"/>
        <v>263550</v>
      </c>
      <c r="I33" s="65">
        <f t="shared" si="13"/>
        <v>144760</v>
      </c>
      <c r="J33" s="65">
        <f t="shared" si="13"/>
        <v>0</v>
      </c>
      <c r="K33" s="65">
        <f t="shared" si="13"/>
        <v>0</v>
      </c>
      <c r="L33" s="65">
        <f t="shared" si="13"/>
        <v>0</v>
      </c>
      <c r="M33" s="1"/>
      <c r="N33" s="1"/>
      <c r="O33" s="1"/>
      <c r="P33" s="1"/>
      <c r="Q33" s="1"/>
      <c r="R33" s="1"/>
      <c r="S33" s="1"/>
    </row>
    <row r="34" spans="1:19" ht="18.75" customHeight="1" x14ac:dyDescent="0.25">
      <c r="A34" s="100"/>
      <c r="B34" s="6" t="s">
        <v>40</v>
      </c>
      <c r="C34" s="65">
        <f>IF(C$12=$N$22,IF(C$13=$E$7,$O$7,IF(C$14&gt;$O$4,0,$O$3-$O$5*C$14)),0)</f>
        <v>60000</v>
      </c>
      <c r="D34" s="65">
        <f t="shared" ref="D34:L34" si="14">IF(D$12=$N$22,IF(D$13=$E$7,$O$7,IF(D$14&gt;$O$4,0,$O$3-$O$5*D$14)),0)</f>
        <v>0</v>
      </c>
      <c r="E34" s="65">
        <f t="shared" ref="E34:K34" si="15">IF(E$12=$N$22,IF(E$13=$E$7,$O$7,IF(E$14&gt;$O$4,0,$O$3-$O$5*E$14)),0)</f>
        <v>10000</v>
      </c>
      <c r="F34" s="65">
        <f t="shared" si="15"/>
        <v>60000</v>
      </c>
      <c r="G34" s="65">
        <f t="shared" si="15"/>
        <v>0</v>
      </c>
      <c r="H34" s="65">
        <f t="shared" si="15"/>
        <v>60000</v>
      </c>
      <c r="I34" s="65">
        <f t="shared" si="15"/>
        <v>0</v>
      </c>
      <c r="J34" s="65">
        <f t="shared" si="15"/>
        <v>0</v>
      </c>
      <c r="K34" s="65">
        <f t="shared" si="15"/>
        <v>0</v>
      </c>
      <c r="L34" s="65">
        <f t="shared" si="14"/>
        <v>0</v>
      </c>
      <c r="M34" s="1"/>
      <c r="N34" s="1"/>
      <c r="O34" s="1"/>
      <c r="P34" s="1"/>
      <c r="Q34" s="1"/>
      <c r="R34" s="1"/>
      <c r="S34" s="1"/>
    </row>
    <row r="35" spans="1:19" ht="18.75" hidden="1" customHeight="1" x14ac:dyDescent="0.25">
      <c r="B35" s="57"/>
      <c r="C35" s="65"/>
      <c r="D35" s="65"/>
      <c r="E35" s="65"/>
      <c r="F35" s="65"/>
      <c r="G35" s="65"/>
      <c r="H35" s="65"/>
      <c r="I35" s="65"/>
      <c r="J35" s="65"/>
      <c r="K35" s="65"/>
      <c r="L35" s="65"/>
      <c r="M35" s="1"/>
      <c r="N35" s="1"/>
      <c r="O35" s="1"/>
      <c r="P35" s="1"/>
      <c r="Q35" s="1"/>
      <c r="R35" s="1"/>
      <c r="S35" s="1"/>
    </row>
    <row r="36" spans="1:19" ht="18.75" hidden="1" customHeight="1" x14ac:dyDescent="0.25">
      <c r="A36" s="2"/>
      <c r="B36" s="1" t="s">
        <v>152</v>
      </c>
      <c r="C36" s="5">
        <f>IFERROR($C$3*C$15*INDEX($F$3:$F$9,MATCH(C$13,$E$3:$E$9,0))*$S$16,0)</f>
        <v>3915</v>
      </c>
      <c r="D36" s="5">
        <f t="shared" ref="D36:L36" si="16">IFERROR($C$3*D$15*INDEX($F$3:$F$9,MATCH(D$13,$E$3:$E$9,0))*$S$16,0)</f>
        <v>11698.500000000002</v>
      </c>
      <c r="E36" s="5">
        <f t="shared" ref="E36:K36" si="17">IFERROR($C$3*E$15*INDEX($F$3:$F$9,MATCH(E$13,$E$3:$E$9,0))*$S$16,0)</f>
        <v>10260</v>
      </c>
      <c r="F36" s="5">
        <f t="shared" si="17"/>
        <v>3352.5</v>
      </c>
      <c r="G36" s="5">
        <f t="shared" si="17"/>
        <v>14250.900000000001</v>
      </c>
      <c r="H36" s="5">
        <f t="shared" si="17"/>
        <v>3577.5</v>
      </c>
      <c r="I36" s="5">
        <f t="shared" si="17"/>
        <v>15101.699999999999</v>
      </c>
      <c r="J36" s="5">
        <f t="shared" si="17"/>
        <v>0</v>
      </c>
      <c r="K36" s="5">
        <f t="shared" si="17"/>
        <v>0</v>
      </c>
      <c r="L36" s="5">
        <f t="shared" si="16"/>
        <v>0</v>
      </c>
      <c r="M36" s="1"/>
      <c r="N36" s="1"/>
      <c r="O36" s="1"/>
      <c r="P36" s="1"/>
      <c r="Q36" s="1"/>
      <c r="R36" s="1"/>
      <c r="S36" s="1"/>
    </row>
    <row r="37" spans="1:19" ht="18.75" hidden="1" customHeight="1" x14ac:dyDescent="0.25">
      <c r="A37" s="2"/>
      <c r="B37" s="1" t="s">
        <v>153</v>
      </c>
      <c r="C37" s="1">
        <f>C$36</f>
        <v>3915</v>
      </c>
      <c r="D37" s="1">
        <f t="shared" ref="D37:L37" si="18">D$36</f>
        <v>11698.500000000002</v>
      </c>
      <c r="E37" s="1">
        <f t="shared" si="18"/>
        <v>10260</v>
      </c>
      <c r="F37" s="1">
        <f t="shared" si="18"/>
        <v>3352.5</v>
      </c>
      <c r="G37" s="1">
        <f t="shared" si="18"/>
        <v>14250.900000000001</v>
      </c>
      <c r="H37" s="1">
        <f t="shared" si="18"/>
        <v>3577.5</v>
      </c>
      <c r="I37" s="1">
        <f t="shared" si="18"/>
        <v>15101.699999999999</v>
      </c>
      <c r="J37" s="1">
        <f t="shared" si="18"/>
        <v>0</v>
      </c>
      <c r="K37" s="1">
        <f t="shared" si="18"/>
        <v>0</v>
      </c>
      <c r="L37" s="1">
        <f t="shared" si="18"/>
        <v>0</v>
      </c>
      <c r="M37" s="1"/>
      <c r="N37" s="1"/>
      <c r="O37" s="1"/>
      <c r="P37" s="1"/>
      <c r="Q37" s="1"/>
      <c r="R37" s="1"/>
      <c r="S37" s="1"/>
    </row>
    <row r="38" spans="1:19" ht="18.75" hidden="1" customHeight="1" x14ac:dyDescent="0.25">
      <c r="A38" s="2"/>
      <c r="B38" s="1" t="s">
        <v>154</v>
      </c>
      <c r="C38" s="1">
        <f t="shared" ref="C38:L46" si="19">C$36</f>
        <v>3915</v>
      </c>
      <c r="D38" s="1">
        <f t="shared" si="19"/>
        <v>11698.500000000002</v>
      </c>
      <c r="E38" s="1">
        <f t="shared" si="19"/>
        <v>10260</v>
      </c>
      <c r="F38" s="1">
        <f t="shared" si="19"/>
        <v>3352.5</v>
      </c>
      <c r="G38" s="1">
        <f t="shared" si="19"/>
        <v>14250.900000000001</v>
      </c>
      <c r="H38" s="1">
        <f t="shared" si="19"/>
        <v>3577.5</v>
      </c>
      <c r="I38" s="1">
        <f t="shared" si="19"/>
        <v>15101.699999999999</v>
      </c>
      <c r="J38" s="1">
        <f t="shared" si="19"/>
        <v>0</v>
      </c>
      <c r="K38" s="1">
        <f t="shared" si="19"/>
        <v>0</v>
      </c>
      <c r="L38" s="1">
        <f t="shared" si="19"/>
        <v>0</v>
      </c>
      <c r="M38" s="1"/>
      <c r="N38" s="1"/>
      <c r="O38" s="1"/>
      <c r="P38" s="1"/>
      <c r="Q38" s="1"/>
      <c r="R38" s="1"/>
      <c r="S38" s="1"/>
    </row>
    <row r="39" spans="1:19" ht="18.75" hidden="1" customHeight="1" x14ac:dyDescent="0.25">
      <c r="A39" s="2"/>
      <c r="B39" s="1" t="s">
        <v>155</v>
      </c>
      <c r="C39" s="1">
        <f t="shared" si="19"/>
        <v>3915</v>
      </c>
      <c r="D39" s="1">
        <f t="shared" si="19"/>
        <v>11698.500000000002</v>
      </c>
      <c r="E39" s="1">
        <f t="shared" si="19"/>
        <v>10260</v>
      </c>
      <c r="F39" s="1">
        <f t="shared" si="19"/>
        <v>3352.5</v>
      </c>
      <c r="G39" s="1">
        <f t="shared" si="19"/>
        <v>14250.900000000001</v>
      </c>
      <c r="H39" s="1">
        <f t="shared" si="19"/>
        <v>3577.5</v>
      </c>
      <c r="I39" s="1">
        <f t="shared" si="19"/>
        <v>15101.699999999999</v>
      </c>
      <c r="J39" s="1">
        <f t="shared" si="19"/>
        <v>0</v>
      </c>
      <c r="K39" s="1">
        <f t="shared" si="19"/>
        <v>0</v>
      </c>
      <c r="L39" s="1">
        <f t="shared" si="19"/>
        <v>0</v>
      </c>
      <c r="M39" s="1"/>
      <c r="N39" s="1"/>
      <c r="O39" s="1"/>
      <c r="P39" s="1"/>
      <c r="Q39" s="1"/>
      <c r="R39" s="1"/>
      <c r="S39" s="1"/>
    </row>
    <row r="40" spans="1:19" ht="18.75" hidden="1" customHeight="1" x14ac:dyDescent="0.25">
      <c r="A40" s="2"/>
      <c r="B40" s="1" t="s">
        <v>156</v>
      </c>
      <c r="C40" s="1">
        <f t="shared" si="19"/>
        <v>3915</v>
      </c>
      <c r="D40" s="1">
        <f t="shared" si="19"/>
        <v>11698.500000000002</v>
      </c>
      <c r="E40" s="1">
        <f t="shared" si="19"/>
        <v>10260</v>
      </c>
      <c r="F40" s="1">
        <f t="shared" si="19"/>
        <v>3352.5</v>
      </c>
      <c r="G40" s="1">
        <f t="shared" si="19"/>
        <v>14250.900000000001</v>
      </c>
      <c r="H40" s="1">
        <f t="shared" si="19"/>
        <v>3577.5</v>
      </c>
      <c r="I40" s="1">
        <f t="shared" si="19"/>
        <v>15101.699999999999</v>
      </c>
      <c r="J40" s="1">
        <f t="shared" si="19"/>
        <v>0</v>
      </c>
      <c r="K40" s="1">
        <f t="shared" si="19"/>
        <v>0</v>
      </c>
      <c r="L40" s="1">
        <f t="shared" si="19"/>
        <v>0</v>
      </c>
      <c r="M40" s="1"/>
      <c r="N40" s="1"/>
      <c r="O40" s="1"/>
      <c r="P40" s="1"/>
      <c r="Q40" s="1"/>
      <c r="R40" s="1"/>
      <c r="S40" s="1"/>
    </row>
    <row r="41" spans="1:19" ht="18.75" hidden="1" customHeight="1" x14ac:dyDescent="0.25">
      <c r="A41" s="2"/>
      <c r="B41" s="1" t="s">
        <v>157</v>
      </c>
      <c r="C41" s="1">
        <f t="shared" si="19"/>
        <v>3915</v>
      </c>
      <c r="D41" s="1">
        <f t="shared" si="19"/>
        <v>11698.500000000002</v>
      </c>
      <c r="E41" s="1">
        <f t="shared" si="19"/>
        <v>10260</v>
      </c>
      <c r="F41" s="1">
        <f t="shared" si="19"/>
        <v>3352.5</v>
      </c>
      <c r="G41" s="1">
        <f t="shared" si="19"/>
        <v>14250.900000000001</v>
      </c>
      <c r="H41" s="1">
        <f t="shared" si="19"/>
        <v>3577.5</v>
      </c>
      <c r="I41" s="1">
        <f t="shared" si="19"/>
        <v>15101.699999999999</v>
      </c>
      <c r="J41" s="1">
        <f t="shared" si="19"/>
        <v>0</v>
      </c>
      <c r="K41" s="1">
        <f t="shared" si="19"/>
        <v>0</v>
      </c>
      <c r="L41" s="1">
        <f t="shared" si="19"/>
        <v>0</v>
      </c>
      <c r="M41" s="1"/>
      <c r="N41" s="1"/>
      <c r="O41" s="1"/>
      <c r="P41" s="1"/>
      <c r="Q41" s="1"/>
      <c r="R41" s="1"/>
      <c r="S41" s="1"/>
    </row>
    <row r="42" spans="1:19" ht="18.75" hidden="1" customHeight="1" x14ac:dyDescent="0.25">
      <c r="A42" s="2"/>
      <c r="B42" s="1" t="s">
        <v>158</v>
      </c>
      <c r="C42" s="1">
        <f t="shared" si="19"/>
        <v>3915</v>
      </c>
      <c r="D42" s="1">
        <f t="shared" si="19"/>
        <v>11698.500000000002</v>
      </c>
      <c r="E42" s="1">
        <f t="shared" si="19"/>
        <v>10260</v>
      </c>
      <c r="F42" s="1">
        <f t="shared" si="19"/>
        <v>3352.5</v>
      </c>
      <c r="G42" s="1">
        <f t="shared" si="19"/>
        <v>14250.900000000001</v>
      </c>
      <c r="H42" s="1">
        <f t="shared" si="19"/>
        <v>3577.5</v>
      </c>
      <c r="I42" s="1">
        <f t="shared" si="19"/>
        <v>15101.699999999999</v>
      </c>
      <c r="J42" s="1">
        <f t="shared" si="19"/>
        <v>0</v>
      </c>
      <c r="K42" s="1">
        <f t="shared" si="19"/>
        <v>0</v>
      </c>
      <c r="L42" s="1">
        <f t="shared" si="19"/>
        <v>0</v>
      </c>
      <c r="M42" s="1"/>
      <c r="N42" s="1"/>
      <c r="O42" s="1"/>
      <c r="P42" s="1"/>
      <c r="Q42" s="1"/>
      <c r="R42" s="1"/>
      <c r="S42" s="1"/>
    </row>
    <row r="43" spans="1:19" ht="18.75" hidden="1" customHeight="1" x14ac:dyDescent="0.25">
      <c r="A43" s="2"/>
      <c r="B43" s="1" t="s">
        <v>159</v>
      </c>
      <c r="C43" s="1">
        <f t="shared" si="19"/>
        <v>3915</v>
      </c>
      <c r="D43" s="1">
        <f t="shared" si="19"/>
        <v>11698.500000000002</v>
      </c>
      <c r="E43" s="1">
        <f t="shared" si="19"/>
        <v>10260</v>
      </c>
      <c r="F43" s="1">
        <f t="shared" si="19"/>
        <v>3352.5</v>
      </c>
      <c r="G43" s="1">
        <f t="shared" si="19"/>
        <v>14250.900000000001</v>
      </c>
      <c r="H43" s="1">
        <f t="shared" si="19"/>
        <v>3577.5</v>
      </c>
      <c r="I43" s="1">
        <f t="shared" si="19"/>
        <v>15101.699999999999</v>
      </c>
      <c r="J43" s="1">
        <f t="shared" si="19"/>
        <v>0</v>
      </c>
      <c r="K43" s="1">
        <f t="shared" si="19"/>
        <v>0</v>
      </c>
      <c r="L43" s="1">
        <f t="shared" si="19"/>
        <v>0</v>
      </c>
      <c r="M43" s="1"/>
      <c r="N43" s="1"/>
      <c r="O43" s="1"/>
      <c r="P43" s="1"/>
      <c r="Q43" s="1"/>
      <c r="R43" s="1"/>
      <c r="S43" s="1"/>
    </row>
    <row r="44" spans="1:19" ht="18.75" hidden="1" customHeight="1" x14ac:dyDescent="0.25">
      <c r="A44" s="2"/>
      <c r="B44" s="1" t="s">
        <v>160</v>
      </c>
      <c r="C44" s="1">
        <f t="shared" si="19"/>
        <v>3915</v>
      </c>
      <c r="D44" s="1">
        <f t="shared" si="19"/>
        <v>11698.500000000002</v>
      </c>
      <c r="E44" s="1">
        <f t="shared" si="19"/>
        <v>10260</v>
      </c>
      <c r="F44" s="1">
        <f t="shared" si="19"/>
        <v>3352.5</v>
      </c>
      <c r="G44" s="1">
        <f t="shared" si="19"/>
        <v>14250.900000000001</v>
      </c>
      <c r="H44" s="1">
        <f t="shared" si="19"/>
        <v>3577.5</v>
      </c>
      <c r="I44" s="1">
        <f t="shared" si="19"/>
        <v>15101.699999999999</v>
      </c>
      <c r="J44" s="1">
        <f t="shared" si="19"/>
        <v>0</v>
      </c>
      <c r="K44" s="1">
        <f t="shared" si="19"/>
        <v>0</v>
      </c>
      <c r="L44" s="1">
        <f t="shared" si="19"/>
        <v>0</v>
      </c>
      <c r="M44" s="1"/>
      <c r="N44" s="1"/>
      <c r="O44" s="1"/>
      <c r="P44" s="1"/>
      <c r="Q44" s="1"/>
      <c r="R44" s="1"/>
      <c r="S44" s="1"/>
    </row>
    <row r="45" spans="1:19" ht="18.75" hidden="1" customHeight="1" x14ac:dyDescent="0.25">
      <c r="A45" s="2"/>
      <c r="B45" s="14" t="s">
        <v>161</v>
      </c>
      <c r="C45" s="14">
        <f t="shared" si="19"/>
        <v>3915</v>
      </c>
      <c r="D45" s="14">
        <f t="shared" si="19"/>
        <v>11698.500000000002</v>
      </c>
      <c r="E45" s="14">
        <f t="shared" si="19"/>
        <v>10260</v>
      </c>
      <c r="F45" s="14">
        <f t="shared" si="19"/>
        <v>3352.5</v>
      </c>
      <c r="G45" s="14">
        <f t="shared" si="19"/>
        <v>14250.900000000001</v>
      </c>
      <c r="H45" s="14">
        <f t="shared" si="19"/>
        <v>3577.5</v>
      </c>
      <c r="I45" s="14">
        <f t="shared" si="19"/>
        <v>15101.699999999999</v>
      </c>
      <c r="J45" s="14">
        <f t="shared" si="19"/>
        <v>0</v>
      </c>
      <c r="K45" s="14">
        <f t="shared" si="19"/>
        <v>0</v>
      </c>
      <c r="L45" s="14">
        <f t="shared" si="19"/>
        <v>0</v>
      </c>
      <c r="M45" s="1"/>
      <c r="N45" s="1"/>
      <c r="O45" s="1"/>
      <c r="P45" s="1"/>
      <c r="Q45" s="1"/>
      <c r="R45" s="1"/>
      <c r="S45" s="1"/>
    </row>
    <row r="46" spans="1:19" ht="18.75" hidden="1" customHeight="1" x14ac:dyDescent="0.25">
      <c r="A46" s="2"/>
      <c r="B46" s="1" t="s">
        <v>39</v>
      </c>
      <c r="C46" s="4">
        <f>C$36</f>
        <v>3915</v>
      </c>
      <c r="D46" s="4">
        <f t="shared" si="19"/>
        <v>11698.500000000002</v>
      </c>
      <c r="E46" s="4">
        <f t="shared" si="19"/>
        <v>10260</v>
      </c>
      <c r="F46" s="4">
        <f t="shared" si="19"/>
        <v>3352.5</v>
      </c>
      <c r="G46" s="4">
        <f t="shared" si="19"/>
        <v>14250.900000000001</v>
      </c>
      <c r="H46" s="4">
        <f t="shared" si="19"/>
        <v>3577.5</v>
      </c>
      <c r="I46" s="4">
        <f t="shared" si="19"/>
        <v>15101.699999999999</v>
      </c>
      <c r="J46" s="4">
        <f t="shared" si="19"/>
        <v>0</v>
      </c>
      <c r="K46" s="4">
        <f t="shared" si="19"/>
        <v>0</v>
      </c>
      <c r="L46" s="4">
        <f t="shared" si="19"/>
        <v>0</v>
      </c>
      <c r="M46" s="1"/>
      <c r="N46" s="1"/>
      <c r="O46" s="1"/>
      <c r="P46" s="1"/>
      <c r="Q46" s="1"/>
      <c r="R46" s="1"/>
      <c r="S46" s="1"/>
    </row>
    <row r="47" spans="1:19" ht="18.75" hidden="1" customHeight="1" x14ac:dyDescent="0.25">
      <c r="A47" s="2"/>
      <c r="B47" s="1" t="s">
        <v>38</v>
      </c>
      <c r="C47" s="4">
        <f t="shared" ref="C47:L47" si="20">C$36+NPV($J$2,C37)</f>
        <v>7679.4230769230762</v>
      </c>
      <c r="D47" s="4">
        <f t="shared" si="20"/>
        <v>22947.057692307695</v>
      </c>
      <c r="E47" s="4">
        <f t="shared" si="20"/>
        <v>20125.384615384617</v>
      </c>
      <c r="F47" s="4">
        <f t="shared" si="20"/>
        <v>6576.0576923076924</v>
      </c>
      <c r="G47" s="4">
        <f t="shared" si="20"/>
        <v>27953.688461538462</v>
      </c>
      <c r="H47" s="4">
        <f t="shared" si="20"/>
        <v>7017.4038461538457</v>
      </c>
      <c r="I47" s="4">
        <f t="shared" si="20"/>
        <v>29622.56538461538</v>
      </c>
      <c r="J47" s="4">
        <f t="shared" si="20"/>
        <v>0</v>
      </c>
      <c r="K47" s="4">
        <f t="shared" si="20"/>
        <v>0</v>
      </c>
      <c r="L47" s="4">
        <f t="shared" si="20"/>
        <v>0</v>
      </c>
      <c r="M47" s="1"/>
      <c r="N47" s="1"/>
      <c r="O47" s="1"/>
      <c r="P47" s="1"/>
      <c r="Q47" s="1"/>
      <c r="R47" s="1"/>
      <c r="S47" s="1"/>
    </row>
    <row r="48" spans="1:19" ht="18.75" hidden="1" customHeight="1" x14ac:dyDescent="0.25">
      <c r="A48" s="2"/>
      <c r="B48" s="1" t="s">
        <v>37</v>
      </c>
      <c r="C48" s="4">
        <f t="shared" ref="C48:L48" si="21">C$36+NPV($J$2,C37:C38)</f>
        <v>11299.060650887572</v>
      </c>
      <c r="D48" s="4">
        <f t="shared" si="21"/>
        <v>33762.978550295862</v>
      </c>
      <c r="E48" s="4">
        <f t="shared" si="21"/>
        <v>29611.331360946748</v>
      </c>
      <c r="F48" s="4">
        <f t="shared" si="21"/>
        <v>9675.6323964497042</v>
      </c>
      <c r="G48" s="4">
        <f t="shared" si="21"/>
        <v>41129.446597633141</v>
      </c>
      <c r="H48" s="4">
        <f t="shared" si="21"/>
        <v>10325.003698224851</v>
      </c>
      <c r="I48" s="4">
        <f t="shared" si="21"/>
        <v>43584.935946745558</v>
      </c>
      <c r="J48" s="4">
        <f t="shared" si="21"/>
        <v>0</v>
      </c>
      <c r="K48" s="4">
        <f t="shared" si="21"/>
        <v>0</v>
      </c>
      <c r="L48" s="4">
        <f t="shared" si="21"/>
        <v>0</v>
      </c>
      <c r="M48" s="1"/>
      <c r="N48" s="1"/>
      <c r="O48" s="1"/>
      <c r="P48" s="1"/>
      <c r="Q48" s="1"/>
      <c r="R48" s="1"/>
      <c r="S48" s="1"/>
    </row>
    <row r="49" spans="1:19" ht="18.75" hidden="1" customHeight="1" x14ac:dyDescent="0.25">
      <c r="A49" s="2"/>
      <c r="B49" s="1" t="s">
        <v>36</v>
      </c>
      <c r="C49" s="4">
        <f t="shared" ref="C49:L49" si="22">C$36+NPV($J$2,C37:C39)</f>
        <v>14779.481395084205</v>
      </c>
      <c r="D49" s="4">
        <f t="shared" si="22"/>
        <v>44162.902452207563</v>
      </c>
      <c r="E49" s="4">
        <f t="shared" si="22"/>
        <v>38732.434000910333</v>
      </c>
      <c r="F49" s="4">
        <f t="shared" si="22"/>
        <v>12655.992688893946</v>
      </c>
      <c r="G49" s="4">
        <f t="shared" si="22"/>
        <v>53798.444805416482</v>
      </c>
      <c r="H49" s="4">
        <f t="shared" si="22"/>
        <v>13505.388171370048</v>
      </c>
      <c r="I49" s="4">
        <f t="shared" si="22"/>
        <v>57010.2922564861</v>
      </c>
      <c r="J49" s="4">
        <f t="shared" si="22"/>
        <v>0</v>
      </c>
      <c r="K49" s="4">
        <f t="shared" si="22"/>
        <v>0</v>
      </c>
      <c r="L49" s="4">
        <f t="shared" si="22"/>
        <v>0</v>
      </c>
      <c r="M49" s="1"/>
      <c r="N49" s="1"/>
      <c r="O49" s="1"/>
      <c r="P49" s="1"/>
      <c r="Q49" s="1"/>
      <c r="R49" s="1"/>
      <c r="S49" s="1"/>
    </row>
    <row r="50" spans="1:19" ht="18.75" hidden="1" customHeight="1" x14ac:dyDescent="0.25">
      <c r="A50" s="2"/>
      <c r="B50" s="1" t="s">
        <v>35</v>
      </c>
      <c r="C50" s="4">
        <f t="shared" ref="C50:L50" si="23">C$36+NPV($J$2,C37:C40)</f>
        <v>18126.039802965581</v>
      </c>
      <c r="D50" s="4">
        <f t="shared" si="23"/>
        <v>54162.829280968806</v>
      </c>
      <c r="E50" s="4">
        <f t="shared" si="23"/>
        <v>47502.725000875318</v>
      </c>
      <c r="F50" s="4">
        <f t="shared" si="23"/>
        <v>15521.723739321102</v>
      </c>
      <c r="G50" s="4">
        <f t="shared" si="23"/>
        <v>65980.173851361993</v>
      </c>
      <c r="H50" s="4">
        <f t="shared" si="23"/>
        <v>16563.450164778893</v>
      </c>
      <c r="I50" s="4">
        <f t="shared" si="23"/>
        <v>69919.288708159715</v>
      </c>
      <c r="J50" s="4">
        <f t="shared" si="23"/>
        <v>0</v>
      </c>
      <c r="K50" s="4">
        <f t="shared" si="23"/>
        <v>0</v>
      </c>
      <c r="L50" s="4">
        <f t="shared" si="23"/>
        <v>0</v>
      </c>
      <c r="M50" s="1"/>
      <c r="N50" s="1"/>
      <c r="O50" s="1"/>
      <c r="P50" s="1"/>
      <c r="Q50" s="1"/>
      <c r="R50" s="1"/>
      <c r="S50" s="1"/>
    </row>
    <row r="51" spans="1:19" ht="18.75" hidden="1" customHeight="1" x14ac:dyDescent="0.25">
      <c r="A51" s="2"/>
      <c r="B51" s="1" t="s">
        <v>34</v>
      </c>
      <c r="C51" s="4">
        <f t="shared" ref="C51:L51" si="24">C$36+NPV($J$2,C37:C41)</f>
        <v>21343.884425928441</v>
      </c>
      <c r="D51" s="4">
        <f t="shared" si="24"/>
        <v>63778.143539393088</v>
      </c>
      <c r="E51" s="4">
        <f t="shared" si="24"/>
        <v>55935.697116226263</v>
      </c>
      <c r="F51" s="4">
        <f t="shared" si="24"/>
        <v>18277.234364731827</v>
      </c>
      <c r="G51" s="4">
        <f t="shared" si="24"/>
        <v>77693.374857078859</v>
      </c>
      <c r="H51" s="4">
        <f t="shared" si="24"/>
        <v>19503.894389210473</v>
      </c>
      <c r="I51" s="4">
        <f t="shared" si="24"/>
        <v>82331.785296307411</v>
      </c>
      <c r="J51" s="4">
        <f t="shared" si="24"/>
        <v>0</v>
      </c>
      <c r="K51" s="4">
        <f t="shared" si="24"/>
        <v>0</v>
      </c>
      <c r="L51" s="4">
        <f t="shared" si="24"/>
        <v>0</v>
      </c>
      <c r="M51" s="1"/>
      <c r="N51" s="1"/>
      <c r="O51" s="1"/>
      <c r="P51" s="1"/>
      <c r="Q51" s="1"/>
      <c r="R51" s="1"/>
      <c r="S51" s="1"/>
    </row>
    <row r="52" spans="1:19" ht="18.75" hidden="1" customHeight="1" x14ac:dyDescent="0.25">
      <c r="A52" s="2"/>
      <c r="B52" s="1" t="s">
        <v>33</v>
      </c>
      <c r="C52" s="4">
        <f t="shared" ref="C52:L52" si="25">C$36+NPV($J$2,C37:C42)</f>
        <v>24437.965794161963</v>
      </c>
      <c r="D52" s="4">
        <f t="shared" si="25"/>
        <v>73023.638018647194</v>
      </c>
      <c r="E52" s="4">
        <f t="shared" si="25"/>
        <v>64044.324150217559</v>
      </c>
      <c r="F52" s="4">
        <f t="shared" si="25"/>
        <v>20926.763812242141</v>
      </c>
      <c r="G52" s="4">
        <f t="shared" si="25"/>
        <v>88956.068131806591</v>
      </c>
      <c r="H52" s="4">
        <f t="shared" si="25"/>
        <v>22331.24460501007</v>
      </c>
      <c r="I52" s="4">
        <f t="shared" si="25"/>
        <v>94266.878169526346</v>
      </c>
      <c r="J52" s="4">
        <f t="shared" si="25"/>
        <v>0</v>
      </c>
      <c r="K52" s="4">
        <f t="shared" si="25"/>
        <v>0</v>
      </c>
      <c r="L52" s="4">
        <f t="shared" si="25"/>
        <v>0</v>
      </c>
      <c r="M52" s="1"/>
      <c r="N52" s="1"/>
      <c r="O52" s="1"/>
      <c r="P52" s="1"/>
      <c r="Q52" s="1"/>
      <c r="R52" s="1"/>
      <c r="S52" s="1"/>
    </row>
    <row r="53" spans="1:19" ht="18.75" hidden="1" customHeight="1" x14ac:dyDescent="0.25">
      <c r="A53" s="2"/>
      <c r="B53" s="1" t="s">
        <v>32</v>
      </c>
      <c r="C53" s="4">
        <f t="shared" ref="C53:L53" si="26">C$36+NPV($J$2,C37:C43)</f>
        <v>27413.04403284804</v>
      </c>
      <c r="D53" s="4">
        <f t="shared" si="26"/>
        <v>81913.536556391526</v>
      </c>
      <c r="E53" s="4">
        <f t="shared" si="26"/>
        <v>71841.080913670725</v>
      </c>
      <c r="F53" s="4">
        <f t="shared" si="26"/>
        <v>23474.388281002059</v>
      </c>
      <c r="G53" s="4">
        <f t="shared" si="26"/>
        <v>99785.580895967869</v>
      </c>
      <c r="H53" s="4">
        <f t="shared" si="26"/>
        <v>25049.850581740451</v>
      </c>
      <c r="I53" s="4">
        <f t="shared" si="26"/>
        <v>105742.92900915994</v>
      </c>
      <c r="J53" s="4">
        <f t="shared" si="26"/>
        <v>0</v>
      </c>
      <c r="K53" s="4">
        <f t="shared" si="26"/>
        <v>0</v>
      </c>
      <c r="L53" s="4">
        <f t="shared" si="26"/>
        <v>0</v>
      </c>
      <c r="M53" s="1"/>
      <c r="N53" s="1"/>
      <c r="O53" s="1"/>
      <c r="P53" s="1"/>
      <c r="Q53" s="1"/>
      <c r="R53" s="1"/>
      <c r="S53" s="1"/>
    </row>
    <row r="54" spans="1:19" ht="18.75" hidden="1" customHeight="1" x14ac:dyDescent="0.25">
      <c r="A54" s="2"/>
      <c r="B54" s="1" t="s">
        <v>31</v>
      </c>
      <c r="C54" s="4">
        <f t="shared" ref="C54:L54" si="27">C$36+NPV($J$2,C37:C44)</f>
        <v>30273.696185430807</v>
      </c>
      <c r="D54" s="4">
        <f t="shared" si="27"/>
        <v>90461.515919607235</v>
      </c>
      <c r="E54" s="4">
        <f t="shared" si="27"/>
        <v>79337.962416991082</v>
      </c>
      <c r="F54" s="4">
        <f t="shared" si="27"/>
        <v>25924.027193271209</v>
      </c>
      <c r="G54" s="4">
        <f t="shared" si="27"/>
        <v>110198.57393843064</v>
      </c>
      <c r="H54" s="4">
        <f t="shared" si="27"/>
        <v>27663.894790135048</v>
      </c>
      <c r="I54" s="4">
        <f t="shared" si="27"/>
        <v>116777.5932780384</v>
      </c>
      <c r="J54" s="4">
        <f t="shared" si="27"/>
        <v>0</v>
      </c>
      <c r="K54" s="4">
        <f t="shared" si="27"/>
        <v>0</v>
      </c>
      <c r="L54" s="4">
        <f t="shared" si="27"/>
        <v>0</v>
      </c>
      <c r="M54" s="1"/>
      <c r="N54" s="1"/>
      <c r="O54" s="1"/>
      <c r="P54" s="1"/>
      <c r="Q54" s="1"/>
      <c r="R54" s="1"/>
      <c r="S54" s="1"/>
    </row>
    <row r="55" spans="1:19" ht="18.75" hidden="1" customHeight="1" x14ac:dyDescent="0.25">
      <c r="A55" s="2"/>
      <c r="B55" s="14" t="s">
        <v>30</v>
      </c>
      <c r="C55" s="47">
        <f t="shared" ref="C55:L55" si="28">C$36+NPV($J$2,C37:C45)</f>
        <v>33024.323255221927</v>
      </c>
      <c r="D55" s="47">
        <f t="shared" si="28"/>
        <v>98680.726845776182</v>
      </c>
      <c r="E55" s="47">
        <f t="shared" si="28"/>
        <v>86546.502324029891</v>
      </c>
      <c r="F55" s="47">
        <f t="shared" si="28"/>
        <v>28279.449224299238</v>
      </c>
      <c r="G55" s="47">
        <f t="shared" si="28"/>
        <v>120211.06724849099</v>
      </c>
      <c r="H55" s="47">
        <f t="shared" si="28"/>
        <v>30177.398836668315</v>
      </c>
      <c r="I55" s="47">
        <f t="shared" si="28"/>
        <v>127387.84738272923</v>
      </c>
      <c r="J55" s="47">
        <f t="shared" si="28"/>
        <v>0</v>
      </c>
      <c r="K55" s="47">
        <f t="shared" si="28"/>
        <v>0</v>
      </c>
      <c r="L55" s="47">
        <f t="shared" si="28"/>
        <v>0</v>
      </c>
      <c r="M55" s="1"/>
      <c r="N55" s="1"/>
      <c r="O55" s="1"/>
      <c r="P55" s="1"/>
      <c r="Q55" s="1"/>
      <c r="R55" s="1"/>
      <c r="S55" s="1"/>
    </row>
    <row r="56" spans="1:19" ht="18.75" hidden="1" customHeight="1" x14ac:dyDescent="0.25">
      <c r="A56" s="2"/>
      <c r="B56" s="1" t="s">
        <v>162</v>
      </c>
      <c r="C56" s="1">
        <v>0</v>
      </c>
      <c r="D56" s="1">
        <v>0</v>
      </c>
      <c r="E56" s="1">
        <v>0</v>
      </c>
      <c r="F56" s="1">
        <v>0</v>
      </c>
      <c r="G56" s="1">
        <v>0</v>
      </c>
      <c r="H56" s="1">
        <v>0</v>
      </c>
      <c r="I56" s="1">
        <v>0</v>
      </c>
      <c r="J56" s="1">
        <v>0</v>
      </c>
      <c r="K56" s="1">
        <v>0</v>
      </c>
      <c r="L56" s="1">
        <v>0</v>
      </c>
      <c r="M56" s="1"/>
      <c r="N56" s="1"/>
      <c r="O56" s="1"/>
      <c r="P56" s="1"/>
      <c r="Q56" s="1"/>
      <c r="R56" s="1"/>
      <c r="S56" s="1"/>
    </row>
    <row r="57" spans="1:19" ht="18.75" hidden="1" customHeight="1" x14ac:dyDescent="0.25">
      <c r="A57" s="2"/>
      <c r="B57" s="1" t="s">
        <v>163</v>
      </c>
      <c r="C57" s="1">
        <v>0</v>
      </c>
      <c r="D57" s="1">
        <v>0</v>
      </c>
      <c r="E57" s="1">
        <v>0</v>
      </c>
      <c r="F57" s="1">
        <v>0</v>
      </c>
      <c r="G57" s="1">
        <v>0</v>
      </c>
      <c r="H57" s="1">
        <v>0</v>
      </c>
      <c r="I57" s="1">
        <v>0</v>
      </c>
      <c r="J57" s="1">
        <v>0</v>
      </c>
      <c r="K57" s="1">
        <v>0</v>
      </c>
      <c r="L57" s="1">
        <v>0</v>
      </c>
      <c r="M57" s="1"/>
      <c r="N57" s="1"/>
      <c r="O57" s="1"/>
      <c r="P57" s="1"/>
      <c r="Q57" s="1"/>
      <c r="R57" s="1"/>
      <c r="S57" s="1"/>
    </row>
    <row r="58" spans="1:19" ht="18.75" hidden="1" customHeight="1" x14ac:dyDescent="0.25">
      <c r="A58" s="2"/>
      <c r="B58" s="1" t="s">
        <v>164</v>
      </c>
      <c r="C58" s="1">
        <v>0</v>
      </c>
      <c r="D58" s="1">
        <v>0</v>
      </c>
      <c r="E58" s="1">
        <v>0</v>
      </c>
      <c r="F58" s="1">
        <v>0</v>
      </c>
      <c r="G58" s="1">
        <v>0</v>
      </c>
      <c r="H58" s="1">
        <v>0</v>
      </c>
      <c r="I58" s="1">
        <v>0</v>
      </c>
      <c r="J58" s="1">
        <v>0</v>
      </c>
      <c r="K58" s="1">
        <v>0</v>
      </c>
      <c r="L58" s="1">
        <v>0</v>
      </c>
      <c r="M58" s="1"/>
      <c r="N58" s="1"/>
      <c r="O58" s="1"/>
      <c r="P58" s="1"/>
      <c r="Q58" s="1"/>
      <c r="R58" s="1"/>
      <c r="S58" s="1"/>
    </row>
    <row r="59" spans="1:19" ht="18.75" hidden="1" customHeight="1" x14ac:dyDescent="0.25">
      <c r="A59" s="2"/>
      <c r="B59" s="1" t="s">
        <v>165</v>
      </c>
      <c r="C59" s="3">
        <f>360+IF(C$14&lt;$O$19,0,(C$14-$O$19)*$P$19*IF(OR(C$13=$E$7,C$13=$E$8),0.5,1))+IF(ISNUMBER(SEARCH($E$5,C$13)),$S$3+C$14*$S$4,0)</f>
        <v>360</v>
      </c>
      <c r="D59" s="3">
        <f t="shared" ref="D59:L59" si="29">360+IF(D$14&lt;$O$19,0,(D$14-$O$19)*$P$19*IF(OR(D$13=$E$7,D$13=$E$8),0.5,1))+IF(ISNUMBER(SEARCH($E$5,D$13)),$S$3+D$14*$S$4,0)</f>
        <v>646</v>
      </c>
      <c r="E59" s="3">
        <f t="shared" si="29"/>
        <v>415</v>
      </c>
      <c r="F59" s="3">
        <f t="shared" si="29"/>
        <v>360</v>
      </c>
      <c r="G59" s="3">
        <f t="shared" si="29"/>
        <v>1284</v>
      </c>
      <c r="H59" s="3">
        <f t="shared" si="29"/>
        <v>360</v>
      </c>
      <c r="I59" s="3">
        <f t="shared" si="29"/>
        <v>1460</v>
      </c>
      <c r="J59" s="3">
        <f t="shared" si="29"/>
        <v>360</v>
      </c>
      <c r="K59" s="3">
        <f t="shared" si="29"/>
        <v>360</v>
      </c>
      <c r="L59" s="3">
        <f t="shared" si="29"/>
        <v>360</v>
      </c>
      <c r="M59" s="1"/>
      <c r="N59" s="1"/>
      <c r="O59" s="1"/>
      <c r="P59" s="1"/>
      <c r="Q59" s="1"/>
      <c r="R59" s="1"/>
      <c r="S59" s="1"/>
    </row>
    <row r="60" spans="1:19" ht="18.75" hidden="1" customHeight="1" x14ac:dyDescent="0.25">
      <c r="A60" s="2"/>
      <c r="B60" s="1" t="s">
        <v>166</v>
      </c>
      <c r="C60" s="1">
        <f t="shared" ref="C60:C65" si="30">C$59</f>
        <v>360</v>
      </c>
      <c r="D60" s="1">
        <f t="shared" ref="D60:L65" si="31">D$59</f>
        <v>646</v>
      </c>
      <c r="E60" s="1">
        <f t="shared" si="31"/>
        <v>415</v>
      </c>
      <c r="F60" s="1">
        <f t="shared" si="31"/>
        <v>360</v>
      </c>
      <c r="G60" s="1">
        <f t="shared" si="31"/>
        <v>1284</v>
      </c>
      <c r="H60" s="1">
        <f t="shared" si="31"/>
        <v>360</v>
      </c>
      <c r="I60" s="1">
        <f t="shared" si="31"/>
        <v>1460</v>
      </c>
      <c r="J60" s="1">
        <f t="shared" si="31"/>
        <v>360</v>
      </c>
      <c r="K60" s="1">
        <f t="shared" si="31"/>
        <v>360</v>
      </c>
      <c r="L60" s="1">
        <f t="shared" si="31"/>
        <v>360</v>
      </c>
      <c r="M60" s="1"/>
      <c r="N60" s="1"/>
      <c r="O60" s="1"/>
      <c r="P60" s="1"/>
      <c r="Q60" s="1"/>
      <c r="R60" s="1"/>
      <c r="S60" s="1"/>
    </row>
    <row r="61" spans="1:19" ht="18.75" hidden="1" customHeight="1" x14ac:dyDescent="0.25">
      <c r="A61" s="2"/>
      <c r="B61" s="1" t="s">
        <v>167</v>
      </c>
      <c r="C61" s="1">
        <f t="shared" si="30"/>
        <v>360</v>
      </c>
      <c r="D61" s="1">
        <f t="shared" si="31"/>
        <v>646</v>
      </c>
      <c r="E61" s="1">
        <f t="shared" si="31"/>
        <v>415</v>
      </c>
      <c r="F61" s="1">
        <f t="shared" si="31"/>
        <v>360</v>
      </c>
      <c r="G61" s="1">
        <f t="shared" si="31"/>
        <v>1284</v>
      </c>
      <c r="H61" s="1">
        <f t="shared" si="31"/>
        <v>360</v>
      </c>
      <c r="I61" s="1">
        <f t="shared" si="31"/>
        <v>1460</v>
      </c>
      <c r="J61" s="1">
        <f t="shared" si="31"/>
        <v>360</v>
      </c>
      <c r="K61" s="1">
        <f t="shared" si="31"/>
        <v>360</v>
      </c>
      <c r="L61" s="1">
        <f t="shared" si="31"/>
        <v>360</v>
      </c>
      <c r="M61" s="1"/>
      <c r="N61" s="1"/>
      <c r="O61" s="1"/>
      <c r="P61" s="1"/>
      <c r="Q61" s="1"/>
      <c r="R61" s="1"/>
      <c r="S61" s="1"/>
    </row>
    <row r="62" spans="1:19" ht="18.75" hidden="1" customHeight="1" x14ac:dyDescent="0.25">
      <c r="A62" s="2"/>
      <c r="B62" s="1" t="s">
        <v>168</v>
      </c>
      <c r="C62" s="1">
        <f t="shared" si="30"/>
        <v>360</v>
      </c>
      <c r="D62" s="1">
        <f t="shared" si="31"/>
        <v>646</v>
      </c>
      <c r="E62" s="1">
        <f t="shared" si="31"/>
        <v>415</v>
      </c>
      <c r="F62" s="1">
        <f t="shared" si="31"/>
        <v>360</v>
      </c>
      <c r="G62" s="1">
        <f t="shared" si="31"/>
        <v>1284</v>
      </c>
      <c r="H62" s="1">
        <f t="shared" si="31"/>
        <v>360</v>
      </c>
      <c r="I62" s="1">
        <f t="shared" si="31"/>
        <v>1460</v>
      </c>
      <c r="J62" s="1">
        <f t="shared" si="31"/>
        <v>360</v>
      </c>
      <c r="K62" s="1">
        <f t="shared" si="31"/>
        <v>360</v>
      </c>
      <c r="L62" s="1">
        <f t="shared" si="31"/>
        <v>360</v>
      </c>
      <c r="M62" s="1"/>
      <c r="N62" s="1"/>
      <c r="O62" s="1"/>
      <c r="P62" s="1"/>
      <c r="Q62" s="1"/>
      <c r="R62" s="1"/>
      <c r="S62" s="1"/>
    </row>
    <row r="63" spans="1:19" ht="18.75" hidden="1" customHeight="1" x14ac:dyDescent="0.25">
      <c r="A63" s="2"/>
      <c r="B63" s="1" t="s">
        <v>169</v>
      </c>
      <c r="C63" s="1">
        <f t="shared" si="30"/>
        <v>360</v>
      </c>
      <c r="D63" s="1">
        <f t="shared" si="31"/>
        <v>646</v>
      </c>
      <c r="E63" s="1">
        <f t="shared" si="31"/>
        <v>415</v>
      </c>
      <c r="F63" s="1">
        <f t="shared" si="31"/>
        <v>360</v>
      </c>
      <c r="G63" s="1">
        <f t="shared" si="31"/>
        <v>1284</v>
      </c>
      <c r="H63" s="1">
        <f t="shared" si="31"/>
        <v>360</v>
      </c>
      <c r="I63" s="1">
        <f t="shared" si="31"/>
        <v>1460</v>
      </c>
      <c r="J63" s="1">
        <f t="shared" si="31"/>
        <v>360</v>
      </c>
      <c r="K63" s="1">
        <f t="shared" si="31"/>
        <v>360</v>
      </c>
      <c r="L63" s="1">
        <f t="shared" si="31"/>
        <v>360</v>
      </c>
      <c r="M63" s="1"/>
      <c r="N63" s="1"/>
      <c r="O63" s="1"/>
      <c r="P63" s="1"/>
      <c r="Q63" s="1"/>
      <c r="R63" s="1"/>
      <c r="S63" s="1"/>
    </row>
    <row r="64" spans="1:19" ht="18.75" hidden="1" customHeight="1" x14ac:dyDescent="0.25">
      <c r="A64" s="2"/>
      <c r="B64" s="1" t="s">
        <v>170</v>
      </c>
      <c r="C64" s="1">
        <f t="shared" si="30"/>
        <v>360</v>
      </c>
      <c r="D64" s="1">
        <f t="shared" si="31"/>
        <v>646</v>
      </c>
      <c r="E64" s="1">
        <f t="shared" si="31"/>
        <v>415</v>
      </c>
      <c r="F64" s="1">
        <f t="shared" si="31"/>
        <v>360</v>
      </c>
      <c r="G64" s="1">
        <f t="shared" si="31"/>
        <v>1284</v>
      </c>
      <c r="H64" s="1">
        <f t="shared" si="31"/>
        <v>360</v>
      </c>
      <c r="I64" s="1">
        <f t="shared" si="31"/>
        <v>1460</v>
      </c>
      <c r="J64" s="1">
        <f t="shared" si="31"/>
        <v>360</v>
      </c>
      <c r="K64" s="1">
        <f t="shared" si="31"/>
        <v>360</v>
      </c>
      <c r="L64" s="1">
        <f t="shared" si="31"/>
        <v>360</v>
      </c>
      <c r="M64" s="1"/>
      <c r="N64" s="1"/>
      <c r="O64" s="1"/>
      <c r="P64" s="1"/>
      <c r="Q64" s="1"/>
      <c r="R64" s="1"/>
      <c r="S64" s="1"/>
    </row>
    <row r="65" spans="1:19" ht="18.75" hidden="1" customHeight="1" x14ac:dyDescent="0.25">
      <c r="A65" s="2"/>
      <c r="B65" s="14" t="s">
        <v>171</v>
      </c>
      <c r="C65" s="14">
        <f t="shared" si="30"/>
        <v>360</v>
      </c>
      <c r="D65" s="14">
        <f t="shared" si="31"/>
        <v>646</v>
      </c>
      <c r="E65" s="14">
        <f t="shared" si="31"/>
        <v>415</v>
      </c>
      <c r="F65" s="14">
        <f t="shared" si="31"/>
        <v>360</v>
      </c>
      <c r="G65" s="14">
        <f t="shared" si="31"/>
        <v>1284</v>
      </c>
      <c r="H65" s="14">
        <f t="shared" si="31"/>
        <v>360</v>
      </c>
      <c r="I65" s="14">
        <f t="shared" si="31"/>
        <v>1460</v>
      </c>
      <c r="J65" s="14">
        <f t="shared" si="31"/>
        <v>360</v>
      </c>
      <c r="K65" s="14">
        <f t="shared" si="31"/>
        <v>360</v>
      </c>
      <c r="L65" s="14">
        <f t="shared" si="31"/>
        <v>360</v>
      </c>
      <c r="M65" s="1"/>
      <c r="N65" s="1"/>
      <c r="O65" s="1"/>
      <c r="P65" s="1"/>
      <c r="Q65" s="1"/>
      <c r="R65" s="1"/>
      <c r="S65" s="1"/>
    </row>
    <row r="66" spans="1:19" ht="18.75" hidden="1" customHeight="1" x14ac:dyDescent="0.25">
      <c r="A66" s="2"/>
      <c r="B66" s="1" t="s">
        <v>29</v>
      </c>
      <c r="C66" s="4">
        <v>0</v>
      </c>
      <c r="D66" s="4">
        <v>0</v>
      </c>
      <c r="E66" s="4">
        <v>0</v>
      </c>
      <c r="F66" s="4">
        <v>0</v>
      </c>
      <c r="G66" s="4">
        <v>0</v>
      </c>
      <c r="H66" s="4">
        <v>0</v>
      </c>
      <c r="I66" s="4">
        <v>0</v>
      </c>
      <c r="J66" s="4">
        <v>0</v>
      </c>
      <c r="K66" s="4">
        <v>0</v>
      </c>
      <c r="L66" s="4">
        <v>0</v>
      </c>
      <c r="M66" s="1"/>
      <c r="N66" s="1"/>
      <c r="O66" s="1"/>
      <c r="P66" s="1"/>
      <c r="Q66" s="1"/>
      <c r="R66" s="1"/>
      <c r="S66" s="1"/>
    </row>
    <row r="67" spans="1:19" ht="18.75" hidden="1" customHeight="1" x14ac:dyDescent="0.25">
      <c r="A67" s="2"/>
      <c r="B67" s="1" t="s">
        <v>28</v>
      </c>
      <c r="C67" s="4">
        <v>0</v>
      </c>
      <c r="D67" s="4">
        <v>0</v>
      </c>
      <c r="E67" s="4">
        <v>0</v>
      </c>
      <c r="F67" s="4">
        <v>0</v>
      </c>
      <c r="G67" s="4">
        <v>0</v>
      </c>
      <c r="H67" s="4">
        <v>0</v>
      </c>
      <c r="I67" s="4">
        <v>0</v>
      </c>
      <c r="J67" s="4">
        <v>0</v>
      </c>
      <c r="K67" s="4">
        <v>0</v>
      </c>
      <c r="L67" s="4">
        <v>0</v>
      </c>
      <c r="M67" s="1"/>
      <c r="N67" s="1"/>
      <c r="O67" s="1"/>
      <c r="P67" s="1"/>
      <c r="Q67" s="1"/>
      <c r="R67" s="1"/>
      <c r="S67" s="1"/>
    </row>
    <row r="68" spans="1:19" ht="18.75" hidden="1" customHeight="1" x14ac:dyDescent="0.25">
      <c r="A68" s="2"/>
      <c r="B68" s="1" t="s">
        <v>27</v>
      </c>
      <c r="C68" s="4">
        <v>0</v>
      </c>
      <c r="D68" s="4">
        <v>0</v>
      </c>
      <c r="E68" s="4">
        <v>0</v>
      </c>
      <c r="F68" s="4">
        <v>0</v>
      </c>
      <c r="G68" s="4">
        <v>0</v>
      </c>
      <c r="H68" s="4">
        <v>0</v>
      </c>
      <c r="I68" s="4">
        <v>0</v>
      </c>
      <c r="J68" s="4">
        <v>0</v>
      </c>
      <c r="K68" s="4">
        <v>0</v>
      </c>
      <c r="L68" s="4">
        <v>0</v>
      </c>
      <c r="M68" s="1"/>
      <c r="N68" s="1"/>
      <c r="O68" s="1"/>
      <c r="P68" s="1"/>
      <c r="Q68" s="1"/>
      <c r="R68" s="1"/>
      <c r="S68" s="1"/>
    </row>
    <row r="69" spans="1:19" ht="18.75" hidden="1" customHeight="1" x14ac:dyDescent="0.25">
      <c r="A69" s="2"/>
      <c r="B69" s="1" t="s">
        <v>26</v>
      </c>
      <c r="C69" s="4">
        <f t="shared" ref="C69:L69" si="32">C$59/(1+$J$2)^3</f>
        <v>320.03868912152933</v>
      </c>
      <c r="D69" s="4">
        <f t="shared" si="32"/>
        <v>574.29164770141097</v>
      </c>
      <c r="E69" s="4">
        <f t="shared" si="32"/>
        <v>368.93348884842965</v>
      </c>
      <c r="F69" s="4">
        <f t="shared" si="32"/>
        <v>320.03868912152933</v>
      </c>
      <c r="G69" s="4">
        <f t="shared" si="32"/>
        <v>1141.4713245334547</v>
      </c>
      <c r="H69" s="4">
        <f t="shared" si="32"/>
        <v>320.03868912152933</v>
      </c>
      <c r="I69" s="4">
        <f t="shared" si="32"/>
        <v>1297.9346836595357</v>
      </c>
      <c r="J69" s="4">
        <f t="shared" si="32"/>
        <v>320.03868912152933</v>
      </c>
      <c r="K69" s="4">
        <f t="shared" si="32"/>
        <v>320.03868912152933</v>
      </c>
      <c r="L69" s="4">
        <f t="shared" si="32"/>
        <v>320.03868912152933</v>
      </c>
      <c r="M69" s="1"/>
      <c r="N69" s="1"/>
      <c r="O69" s="1"/>
      <c r="P69" s="1"/>
      <c r="Q69" s="1"/>
      <c r="R69" s="1"/>
      <c r="S69" s="1"/>
    </row>
    <row r="70" spans="1:19" ht="18.75" hidden="1" customHeight="1" x14ac:dyDescent="0.25">
      <c r="A70" s="2"/>
      <c r="B70" s="1" t="s">
        <v>25</v>
      </c>
      <c r="C70" s="4">
        <f t="shared" ref="C70:L70" si="33">C69+C$59/(1+$J$2)^4</f>
        <v>627.76819789223055</v>
      </c>
      <c r="D70" s="4">
        <f t="shared" si="33"/>
        <v>1126.4951551066138</v>
      </c>
      <c r="E70" s="4">
        <f t="shared" si="33"/>
        <v>723.67722812576585</v>
      </c>
      <c r="F70" s="4">
        <f t="shared" si="33"/>
        <v>627.76819789223055</v>
      </c>
      <c r="G70" s="4">
        <f t="shared" si="33"/>
        <v>2239.0399058156227</v>
      </c>
      <c r="H70" s="4">
        <f t="shared" si="33"/>
        <v>627.76819789223055</v>
      </c>
      <c r="I70" s="4">
        <f t="shared" si="33"/>
        <v>2545.9488025629353</v>
      </c>
      <c r="J70" s="4">
        <f t="shared" si="33"/>
        <v>627.76819789223055</v>
      </c>
      <c r="K70" s="4">
        <f t="shared" si="33"/>
        <v>627.76819789223055</v>
      </c>
      <c r="L70" s="4">
        <f t="shared" si="33"/>
        <v>627.76819789223055</v>
      </c>
      <c r="M70" s="1"/>
      <c r="N70" s="1"/>
      <c r="O70" s="1"/>
      <c r="P70" s="1"/>
      <c r="Q70" s="1"/>
      <c r="R70" s="1"/>
      <c r="S70" s="1"/>
    </row>
    <row r="71" spans="1:19" ht="18.75" hidden="1" customHeight="1" x14ac:dyDescent="0.25">
      <c r="A71" s="2"/>
      <c r="B71" s="1" t="s">
        <v>24</v>
      </c>
      <c r="C71" s="4">
        <f t="shared" ref="C71:L71" si="34">C70+C$59/(1+$J$2)^5</f>
        <v>923.66195632559709</v>
      </c>
      <c r="D71" s="4">
        <f t="shared" si="34"/>
        <v>1657.4600660731548</v>
      </c>
      <c r="E71" s="4">
        <f t="shared" si="34"/>
        <v>1064.7769774308967</v>
      </c>
      <c r="F71" s="4">
        <f t="shared" si="34"/>
        <v>923.66195632559709</v>
      </c>
      <c r="G71" s="4">
        <f t="shared" si="34"/>
        <v>3294.3943108946301</v>
      </c>
      <c r="H71" s="4">
        <f t="shared" si="34"/>
        <v>923.66195632559709</v>
      </c>
      <c r="I71" s="4">
        <f t="shared" si="34"/>
        <v>3745.9623784315886</v>
      </c>
      <c r="J71" s="4">
        <f t="shared" si="34"/>
        <v>923.66195632559709</v>
      </c>
      <c r="K71" s="4">
        <f t="shared" si="34"/>
        <v>923.66195632559709</v>
      </c>
      <c r="L71" s="4">
        <f t="shared" si="34"/>
        <v>923.66195632559709</v>
      </c>
      <c r="M71" s="1"/>
      <c r="N71" s="1"/>
      <c r="O71" s="1"/>
      <c r="P71" s="1"/>
      <c r="Q71" s="1"/>
      <c r="R71" s="1"/>
      <c r="S71" s="1"/>
    </row>
    <row r="72" spans="1:19" ht="18.75" hidden="1" customHeight="1" x14ac:dyDescent="0.25">
      <c r="A72" s="2"/>
      <c r="B72" s="1" t="s">
        <v>23</v>
      </c>
      <c r="C72" s="4">
        <f t="shared" ref="C72:L72" si="35">C71+C$59/(1+$J$2)^6</f>
        <v>1208.1751855884495</v>
      </c>
      <c r="D72" s="4">
        <f t="shared" si="35"/>
        <v>2168.0032496948288</v>
      </c>
      <c r="E72" s="4">
        <f t="shared" si="35"/>
        <v>1392.7575056089072</v>
      </c>
      <c r="F72" s="4">
        <f t="shared" si="35"/>
        <v>1208.1751855884495</v>
      </c>
      <c r="G72" s="4">
        <f t="shared" si="35"/>
        <v>4309.1581619321369</v>
      </c>
      <c r="H72" s="4">
        <f t="shared" si="35"/>
        <v>1208.1751855884495</v>
      </c>
      <c r="I72" s="4">
        <f t="shared" si="35"/>
        <v>4899.8215859976008</v>
      </c>
      <c r="J72" s="4">
        <f t="shared" si="35"/>
        <v>1208.1751855884495</v>
      </c>
      <c r="K72" s="4">
        <f t="shared" si="35"/>
        <v>1208.1751855884495</v>
      </c>
      <c r="L72" s="4">
        <f t="shared" si="35"/>
        <v>1208.1751855884495</v>
      </c>
      <c r="M72" s="1"/>
      <c r="N72" s="1"/>
      <c r="O72" s="1"/>
      <c r="P72" s="1"/>
      <c r="Q72" s="1"/>
      <c r="R72" s="1"/>
      <c r="S72" s="1"/>
    </row>
    <row r="73" spans="1:19" ht="18.75" hidden="1" customHeight="1" x14ac:dyDescent="0.25">
      <c r="A73" s="2"/>
      <c r="B73" s="1" t="s">
        <v>22</v>
      </c>
      <c r="C73" s="4">
        <f t="shared" ref="C73:L73" si="36">C72+C$59/(1+$J$2)^7</f>
        <v>1481.7455983411924</v>
      </c>
      <c r="D73" s="4">
        <f t="shared" si="36"/>
        <v>2658.9101570233615</v>
      </c>
      <c r="E73" s="4">
        <f t="shared" si="36"/>
        <v>1708.1233980877635</v>
      </c>
      <c r="F73" s="4">
        <f t="shared" si="36"/>
        <v>1481.7455983411924</v>
      </c>
      <c r="G73" s="4">
        <f t="shared" si="36"/>
        <v>5284.892634083586</v>
      </c>
      <c r="H73" s="4">
        <f t="shared" si="36"/>
        <v>1481.7455983411924</v>
      </c>
      <c r="I73" s="4">
        <f t="shared" si="36"/>
        <v>6009.301593272613</v>
      </c>
      <c r="J73" s="4">
        <f t="shared" si="36"/>
        <v>1481.7455983411924</v>
      </c>
      <c r="K73" s="4">
        <f t="shared" si="36"/>
        <v>1481.7455983411924</v>
      </c>
      <c r="L73" s="4">
        <f t="shared" si="36"/>
        <v>1481.7455983411924</v>
      </c>
      <c r="M73" s="1"/>
      <c r="N73" s="1"/>
      <c r="O73" s="1"/>
      <c r="P73" s="1"/>
      <c r="Q73" s="1"/>
      <c r="R73" s="1"/>
      <c r="S73" s="1"/>
    </row>
    <row r="74" spans="1:19" ht="18.75" hidden="1" customHeight="1" x14ac:dyDescent="0.25">
      <c r="A74" s="2"/>
      <c r="B74" s="1" t="s">
        <v>21</v>
      </c>
      <c r="C74" s="4">
        <f t="shared" ref="C74:L74" si="37">C73+C$59/(1+$J$2)^8</f>
        <v>1744.7940721419066</v>
      </c>
      <c r="D74" s="4">
        <f t="shared" si="37"/>
        <v>3130.9360294546432</v>
      </c>
      <c r="E74" s="4">
        <f t="shared" si="37"/>
        <v>2011.3598331635867</v>
      </c>
      <c r="F74" s="4">
        <f t="shared" si="37"/>
        <v>1744.7940721419066</v>
      </c>
      <c r="G74" s="4">
        <f t="shared" si="37"/>
        <v>6223.0988573061331</v>
      </c>
      <c r="H74" s="4">
        <f t="shared" si="37"/>
        <v>1744.7940721419066</v>
      </c>
      <c r="I74" s="4">
        <f t="shared" si="37"/>
        <v>7076.1092925755092</v>
      </c>
      <c r="J74" s="4">
        <f t="shared" si="37"/>
        <v>1744.7940721419066</v>
      </c>
      <c r="K74" s="4">
        <f t="shared" si="37"/>
        <v>1744.7940721419066</v>
      </c>
      <c r="L74" s="4">
        <f t="shared" si="37"/>
        <v>1744.7940721419066</v>
      </c>
      <c r="M74" s="1"/>
      <c r="N74" s="1"/>
      <c r="O74" s="1"/>
      <c r="P74" s="1"/>
      <c r="Q74" s="1"/>
      <c r="R74" s="1"/>
      <c r="S74" s="1"/>
    </row>
    <row r="75" spans="1:19" ht="18.75" hidden="1" customHeight="1" x14ac:dyDescent="0.25">
      <c r="A75" s="2"/>
      <c r="B75" s="14" t="s">
        <v>20</v>
      </c>
      <c r="C75" s="47">
        <f t="shared" ref="C75:L75" si="38">C74+C$59/(1+$J$2)^9</f>
        <v>1997.7252969502856</v>
      </c>
      <c r="D75" s="47">
        <f t="shared" si="38"/>
        <v>3584.8070606385677</v>
      </c>
      <c r="E75" s="47">
        <f t="shared" si="38"/>
        <v>2302.9333284288014</v>
      </c>
      <c r="F75" s="47">
        <f t="shared" si="38"/>
        <v>1997.7252969502856</v>
      </c>
      <c r="G75" s="47">
        <f t="shared" si="38"/>
        <v>7125.2202257893514</v>
      </c>
      <c r="H75" s="47">
        <f t="shared" si="38"/>
        <v>1997.7252969502856</v>
      </c>
      <c r="I75" s="47">
        <f t="shared" si="38"/>
        <v>8101.885926520602</v>
      </c>
      <c r="J75" s="47">
        <f t="shared" si="38"/>
        <v>1997.7252969502856</v>
      </c>
      <c r="K75" s="47">
        <f t="shared" si="38"/>
        <v>1997.7252969502856</v>
      </c>
      <c r="L75" s="47">
        <f t="shared" si="38"/>
        <v>1997.7252969502856</v>
      </c>
      <c r="M75" s="1"/>
      <c r="N75" s="1"/>
      <c r="O75" s="1"/>
      <c r="P75" s="1"/>
      <c r="Q75" s="1"/>
      <c r="R75" s="1"/>
      <c r="S75" s="1"/>
    </row>
    <row r="76" spans="1:19" ht="18.75" hidden="1" customHeight="1" x14ac:dyDescent="0.25">
      <c r="A76" s="2"/>
      <c r="B76" s="1" t="s">
        <v>172</v>
      </c>
      <c r="C76" s="1">
        <f>360+IF(C$13=$E$8,IF(C$14&gt;$O$19,(C$14-$O$19)*$P$19/2,0),IF(C$13=$E$7,IF(C$14&gt;$O$19,(C$14-$O$19)*$P$19/2,0),IF(C$14&gt;$O$15,IF(C$14&gt;$O$16,(C$14-$O$16)*$P$16+($O$16-$O$15)*$P$15,(C$14-$O$15)*$P$15))+IF(C$13=$E$6,$S$3+C$14*$S$4,IF(C$13=$E$5,$S$3+C$14*$S$4,0))))</f>
        <v>360</v>
      </c>
      <c r="D76" s="1">
        <f t="shared" ref="D76:L76" si="39">360+IF(D$13=$E$8,IF(D$14&gt;$O$19,(D$14-$O$19)*$P$19/2,0),IF(D$13=$E$7,IF(D$14&gt;$O$19,(D$14-$O$19)*$P$19/2,0),IF(D$14&gt;$O$15,IF(D$14&gt;$O$16,(D$14-$O$16)*$P$16+($O$16-$O$15)*$P$15,(D$14-$O$15)*$P$15))+IF(D$13=$E$6,$S$3+D$14*$S$4,IF(D$13=$E$5,$S$3+D$14*$S$4,0))))</f>
        <v>2738</v>
      </c>
      <c r="E76" s="1">
        <f t="shared" si="39"/>
        <v>415</v>
      </c>
      <c r="F76" s="1">
        <f t="shared" si="39"/>
        <v>360</v>
      </c>
      <c r="G76" s="1">
        <f t="shared" si="39"/>
        <v>5441</v>
      </c>
      <c r="H76" s="1">
        <f t="shared" si="39"/>
        <v>360</v>
      </c>
      <c r="I76" s="1">
        <f t="shared" si="39"/>
        <v>6297</v>
      </c>
      <c r="J76" s="1">
        <f t="shared" si="39"/>
        <v>360</v>
      </c>
      <c r="K76" s="1">
        <f t="shared" si="39"/>
        <v>360</v>
      </c>
      <c r="L76" s="1">
        <f t="shared" si="39"/>
        <v>360</v>
      </c>
      <c r="M76" s="1"/>
      <c r="N76" s="1"/>
      <c r="O76" s="1"/>
      <c r="P76" s="1"/>
      <c r="Q76" s="1"/>
      <c r="R76" s="1"/>
      <c r="S76" s="1"/>
    </row>
    <row r="77" spans="1:19" ht="18.75" hidden="1" customHeight="1" x14ac:dyDescent="0.25">
      <c r="A77" s="2"/>
      <c r="B77" s="1" t="s">
        <v>173</v>
      </c>
      <c r="C77" s="1">
        <f>C$76</f>
        <v>360</v>
      </c>
      <c r="D77" s="1">
        <f t="shared" ref="D77:L78" si="40">D$76</f>
        <v>2738</v>
      </c>
      <c r="E77" s="1">
        <f t="shared" si="40"/>
        <v>415</v>
      </c>
      <c r="F77" s="1">
        <f t="shared" si="40"/>
        <v>360</v>
      </c>
      <c r="G77" s="1">
        <f t="shared" si="40"/>
        <v>5441</v>
      </c>
      <c r="H77" s="1">
        <f t="shared" si="40"/>
        <v>360</v>
      </c>
      <c r="I77" s="1">
        <f t="shared" si="40"/>
        <v>6297</v>
      </c>
      <c r="J77" s="1">
        <f t="shared" si="40"/>
        <v>360</v>
      </c>
      <c r="K77" s="1">
        <f t="shared" si="40"/>
        <v>360</v>
      </c>
      <c r="L77" s="1">
        <f t="shared" si="40"/>
        <v>360</v>
      </c>
      <c r="M77" s="1"/>
      <c r="N77" s="1"/>
      <c r="O77" s="1"/>
      <c r="P77" s="1"/>
      <c r="Q77" s="1"/>
      <c r="R77" s="1"/>
      <c r="S77" s="1"/>
    </row>
    <row r="78" spans="1:19" ht="18.75" hidden="1" customHeight="1" x14ac:dyDescent="0.25">
      <c r="A78" s="2"/>
      <c r="B78" s="1" t="s">
        <v>174</v>
      </c>
      <c r="C78" s="1">
        <f>C$76</f>
        <v>360</v>
      </c>
      <c r="D78" s="1">
        <f t="shared" si="40"/>
        <v>2738</v>
      </c>
      <c r="E78" s="1">
        <f t="shared" si="40"/>
        <v>415</v>
      </c>
      <c r="F78" s="1">
        <f t="shared" si="40"/>
        <v>360</v>
      </c>
      <c r="G78" s="1">
        <f t="shared" si="40"/>
        <v>5441</v>
      </c>
      <c r="H78" s="1">
        <f t="shared" si="40"/>
        <v>360</v>
      </c>
      <c r="I78" s="1">
        <f t="shared" si="40"/>
        <v>6297</v>
      </c>
      <c r="J78" s="1">
        <f t="shared" si="40"/>
        <v>360</v>
      </c>
      <c r="K78" s="1">
        <f t="shared" si="40"/>
        <v>360</v>
      </c>
      <c r="L78" s="1">
        <f t="shared" si="40"/>
        <v>360</v>
      </c>
      <c r="M78" s="1"/>
      <c r="N78" s="1"/>
      <c r="O78" s="1"/>
      <c r="P78" s="1"/>
      <c r="Q78" s="1"/>
      <c r="R78" s="1"/>
      <c r="S78" s="1"/>
    </row>
    <row r="79" spans="1:19" ht="18.75" hidden="1" customHeight="1" x14ac:dyDescent="0.25">
      <c r="A79" s="2"/>
      <c r="B79" s="1" t="s">
        <v>175</v>
      </c>
      <c r="C79" s="1">
        <f>360+IF(C$14&lt;$O$19,0,(C$14-$O$19)*$P$19*IF(OR(C$13=$E$7,C$13=$E$8),0.5,1))+IF(ISNUMBER(SEARCH($E$5,C$13)),$S$3+C$14*$S$4,0)*0</f>
        <v>360</v>
      </c>
      <c r="D79" s="1">
        <v>0</v>
      </c>
      <c r="E79" s="1">
        <v>0</v>
      </c>
      <c r="F79" s="1">
        <v>0</v>
      </c>
      <c r="G79" s="1">
        <v>0</v>
      </c>
      <c r="H79" s="1">
        <v>0</v>
      </c>
      <c r="I79" s="1">
        <v>0</v>
      </c>
      <c r="J79" s="1">
        <v>0</v>
      </c>
      <c r="K79" s="1">
        <v>0</v>
      </c>
      <c r="L79" s="1">
        <v>0</v>
      </c>
      <c r="M79" s="1"/>
      <c r="N79" s="1"/>
      <c r="O79" s="1"/>
      <c r="P79" s="1"/>
      <c r="Q79" s="1"/>
      <c r="R79" s="1"/>
      <c r="S79" s="1"/>
    </row>
    <row r="80" spans="1:19" ht="18.75" hidden="1" customHeight="1" x14ac:dyDescent="0.25">
      <c r="A80" s="2"/>
      <c r="B80" s="1" t="s">
        <v>176</v>
      </c>
      <c r="C80" s="1">
        <v>0</v>
      </c>
      <c r="D80" s="1">
        <v>0</v>
      </c>
      <c r="E80" s="1">
        <v>0</v>
      </c>
      <c r="F80" s="1">
        <v>0</v>
      </c>
      <c r="G80" s="1">
        <v>0</v>
      </c>
      <c r="H80" s="1">
        <v>0</v>
      </c>
      <c r="I80" s="1">
        <v>0</v>
      </c>
      <c r="J80" s="1">
        <v>0</v>
      </c>
      <c r="K80" s="1">
        <v>0</v>
      </c>
      <c r="L80" s="1">
        <v>0</v>
      </c>
      <c r="M80" s="1"/>
      <c r="N80" s="1"/>
      <c r="O80" s="1"/>
      <c r="P80" s="1"/>
      <c r="Q80" s="1"/>
      <c r="R80" s="1"/>
      <c r="S80" s="1"/>
    </row>
    <row r="81" spans="1:19" ht="18.75" hidden="1" customHeight="1" x14ac:dyDescent="0.25">
      <c r="A81" s="2"/>
      <c r="B81" s="1" t="s">
        <v>177</v>
      </c>
      <c r="C81" s="1">
        <v>0</v>
      </c>
      <c r="D81" s="1">
        <v>0</v>
      </c>
      <c r="E81" s="1">
        <v>0</v>
      </c>
      <c r="F81" s="1">
        <v>0</v>
      </c>
      <c r="G81" s="1">
        <v>0</v>
      </c>
      <c r="H81" s="1">
        <v>0</v>
      </c>
      <c r="I81" s="1">
        <v>0</v>
      </c>
      <c r="J81" s="1">
        <v>0</v>
      </c>
      <c r="K81" s="1">
        <v>0</v>
      </c>
      <c r="L81" s="1">
        <v>0</v>
      </c>
      <c r="M81" s="1"/>
      <c r="N81" s="1"/>
      <c r="O81" s="1"/>
      <c r="P81" s="1"/>
      <c r="Q81" s="1"/>
      <c r="R81" s="1"/>
      <c r="S81" s="1"/>
    </row>
    <row r="82" spans="1:19" ht="18.75" hidden="1" customHeight="1" x14ac:dyDescent="0.25">
      <c r="A82" s="2"/>
      <c r="B82" s="1" t="s">
        <v>178</v>
      </c>
      <c r="C82" s="1">
        <v>0</v>
      </c>
      <c r="D82" s="1">
        <v>0</v>
      </c>
      <c r="E82" s="1">
        <v>0</v>
      </c>
      <c r="F82" s="1">
        <v>0</v>
      </c>
      <c r="G82" s="1">
        <v>0</v>
      </c>
      <c r="H82" s="1">
        <v>0</v>
      </c>
      <c r="I82" s="1">
        <v>0</v>
      </c>
      <c r="J82" s="1">
        <v>0</v>
      </c>
      <c r="K82" s="1">
        <v>0</v>
      </c>
      <c r="L82" s="1">
        <v>0</v>
      </c>
      <c r="M82" s="1"/>
      <c r="N82" s="1"/>
      <c r="O82" s="1"/>
      <c r="P82" s="1"/>
      <c r="Q82" s="1"/>
      <c r="R82" s="1"/>
      <c r="S82" s="1"/>
    </row>
    <row r="83" spans="1:19" ht="18.75" hidden="1" customHeight="1" x14ac:dyDescent="0.25">
      <c r="A83" s="2"/>
      <c r="B83" s="1" t="s">
        <v>179</v>
      </c>
      <c r="C83" s="1">
        <v>0</v>
      </c>
      <c r="D83" s="1">
        <v>0</v>
      </c>
      <c r="E83" s="1">
        <v>0</v>
      </c>
      <c r="F83" s="1">
        <v>0</v>
      </c>
      <c r="G83" s="1">
        <v>0</v>
      </c>
      <c r="H83" s="1">
        <v>0</v>
      </c>
      <c r="I83" s="1">
        <v>0</v>
      </c>
      <c r="J83" s="1">
        <v>0</v>
      </c>
      <c r="K83" s="1">
        <v>0</v>
      </c>
      <c r="L83" s="1">
        <v>0</v>
      </c>
      <c r="M83" s="1"/>
      <c r="N83" s="1"/>
      <c r="O83" s="1"/>
      <c r="P83" s="1"/>
      <c r="Q83" s="1"/>
      <c r="R83" s="1"/>
      <c r="S83" s="1"/>
    </row>
    <row r="84" spans="1:19" ht="18.75" hidden="1" customHeight="1" x14ac:dyDescent="0.25">
      <c r="A84" s="2"/>
      <c r="B84" s="1" t="s">
        <v>180</v>
      </c>
      <c r="C84" s="1">
        <v>0</v>
      </c>
      <c r="D84" s="1">
        <v>0</v>
      </c>
      <c r="E84" s="1">
        <v>0</v>
      </c>
      <c r="F84" s="1">
        <v>0</v>
      </c>
      <c r="G84" s="1">
        <v>0</v>
      </c>
      <c r="H84" s="1">
        <v>0</v>
      </c>
      <c r="I84" s="1">
        <v>0</v>
      </c>
      <c r="J84" s="1">
        <v>0</v>
      </c>
      <c r="K84" s="1">
        <v>0</v>
      </c>
      <c r="L84" s="1">
        <v>0</v>
      </c>
      <c r="M84" s="1"/>
      <c r="N84" s="1"/>
      <c r="O84" s="1"/>
      <c r="P84" s="1"/>
      <c r="Q84" s="1"/>
      <c r="R84" s="1"/>
      <c r="S84" s="1"/>
    </row>
    <row r="85" spans="1:19" ht="18.75" hidden="1" customHeight="1" x14ac:dyDescent="0.25">
      <c r="A85" s="2"/>
      <c r="B85" s="14" t="s">
        <v>181</v>
      </c>
      <c r="C85" s="14">
        <v>0</v>
      </c>
      <c r="D85" s="14">
        <v>0</v>
      </c>
      <c r="E85" s="14">
        <v>0</v>
      </c>
      <c r="F85" s="14">
        <v>0</v>
      </c>
      <c r="G85" s="14">
        <v>0</v>
      </c>
      <c r="H85" s="14">
        <v>0</v>
      </c>
      <c r="I85" s="14">
        <v>0</v>
      </c>
      <c r="J85" s="14">
        <v>0</v>
      </c>
      <c r="K85" s="14">
        <v>0</v>
      </c>
      <c r="L85" s="14">
        <v>0</v>
      </c>
      <c r="M85" s="1"/>
      <c r="N85" s="1"/>
      <c r="O85" s="1"/>
      <c r="P85" s="1"/>
      <c r="Q85" s="1"/>
      <c r="R85" s="1"/>
      <c r="S85" s="1"/>
    </row>
    <row r="86" spans="1:19" ht="18.75" hidden="1" customHeight="1" x14ac:dyDescent="0.25">
      <c r="A86" s="2"/>
      <c r="B86" s="1" t="s">
        <v>19</v>
      </c>
      <c r="C86" s="1">
        <f>C$76</f>
        <v>360</v>
      </c>
      <c r="D86" s="1">
        <f t="shared" ref="D86:L86" si="41">D$76</f>
        <v>2738</v>
      </c>
      <c r="E86" s="1">
        <f t="shared" si="41"/>
        <v>415</v>
      </c>
      <c r="F86" s="1">
        <f t="shared" si="41"/>
        <v>360</v>
      </c>
      <c r="G86" s="1">
        <f t="shared" si="41"/>
        <v>5441</v>
      </c>
      <c r="H86" s="1">
        <f t="shared" si="41"/>
        <v>360</v>
      </c>
      <c r="I86" s="1">
        <f t="shared" si="41"/>
        <v>6297</v>
      </c>
      <c r="J86" s="1">
        <f t="shared" si="41"/>
        <v>360</v>
      </c>
      <c r="K86" s="1">
        <f t="shared" si="41"/>
        <v>360</v>
      </c>
      <c r="L86" s="1">
        <f t="shared" si="41"/>
        <v>360</v>
      </c>
      <c r="M86" s="1"/>
      <c r="N86" s="1"/>
      <c r="O86" s="1"/>
      <c r="P86" s="1"/>
      <c r="Q86" s="1"/>
      <c r="R86" s="1"/>
      <c r="S86" s="1"/>
    </row>
    <row r="87" spans="1:19" ht="18.75" hidden="1" customHeight="1" x14ac:dyDescent="0.25">
      <c r="A87" s="2"/>
      <c r="B87" s="1" t="s">
        <v>18</v>
      </c>
      <c r="C87" s="1">
        <f t="shared" ref="C87:L87" si="42">C$76+NPV($J$2,C77)</f>
        <v>706.15384615384619</v>
      </c>
      <c r="D87" s="1">
        <f t="shared" si="42"/>
        <v>5370.6923076923076</v>
      </c>
      <c r="E87" s="1">
        <f t="shared" si="42"/>
        <v>814.03846153846155</v>
      </c>
      <c r="F87" s="1">
        <f t="shared" si="42"/>
        <v>706.15384615384619</v>
      </c>
      <c r="G87" s="1">
        <f t="shared" si="42"/>
        <v>10672.73076923077</v>
      </c>
      <c r="H87" s="1">
        <f t="shared" si="42"/>
        <v>706.15384615384619</v>
      </c>
      <c r="I87" s="1">
        <f t="shared" si="42"/>
        <v>12351.807692307691</v>
      </c>
      <c r="J87" s="1">
        <f t="shared" si="42"/>
        <v>706.15384615384619</v>
      </c>
      <c r="K87" s="1">
        <f t="shared" si="42"/>
        <v>706.15384615384619</v>
      </c>
      <c r="L87" s="1">
        <f t="shared" si="42"/>
        <v>706.15384615384619</v>
      </c>
      <c r="M87" s="1"/>
      <c r="N87" s="1"/>
      <c r="O87" s="1"/>
      <c r="P87" s="1"/>
      <c r="Q87" s="1"/>
      <c r="R87" s="1"/>
      <c r="S87" s="1"/>
    </row>
    <row r="88" spans="1:19" ht="18.75" hidden="1" customHeight="1" x14ac:dyDescent="0.25">
      <c r="A88" s="2"/>
      <c r="B88" s="1" t="s">
        <v>17</v>
      </c>
      <c r="C88" s="1">
        <f t="shared" ref="C88:L88" si="43">C$76+NPV($J$2,C77:C78)</f>
        <v>1038.9940828402368</v>
      </c>
      <c r="D88" s="1">
        <f t="shared" si="43"/>
        <v>7902.1272189349111</v>
      </c>
      <c r="E88" s="1">
        <f t="shared" si="43"/>
        <v>1197.7292899408285</v>
      </c>
      <c r="F88" s="1">
        <f t="shared" si="43"/>
        <v>1038.9940828402368</v>
      </c>
      <c r="G88" s="1">
        <f t="shared" si="43"/>
        <v>15703.241124260356</v>
      </c>
      <c r="H88" s="1">
        <f t="shared" si="43"/>
        <v>1038.9940828402368</v>
      </c>
      <c r="I88" s="1">
        <f t="shared" si="43"/>
        <v>18173.738165680472</v>
      </c>
      <c r="J88" s="1">
        <f t="shared" si="43"/>
        <v>1038.9940828402368</v>
      </c>
      <c r="K88" s="1">
        <f t="shared" si="43"/>
        <v>1038.9940828402368</v>
      </c>
      <c r="L88" s="1">
        <f t="shared" si="43"/>
        <v>1038.9940828402368</v>
      </c>
      <c r="M88" s="1"/>
      <c r="N88" s="1"/>
      <c r="O88" s="1"/>
      <c r="P88" s="1"/>
      <c r="Q88" s="1"/>
      <c r="R88" s="1"/>
      <c r="S88" s="1"/>
    </row>
    <row r="89" spans="1:19" ht="18.75" hidden="1" customHeight="1" x14ac:dyDescent="0.25">
      <c r="A89" s="2"/>
      <c r="B89" s="1" t="s">
        <v>16</v>
      </c>
      <c r="C89" s="1">
        <f t="shared" ref="C89:C95" si="44">C$88</f>
        <v>1038.9940828402368</v>
      </c>
      <c r="D89" s="1">
        <f t="shared" ref="D89:L95" si="45">D$88</f>
        <v>7902.1272189349111</v>
      </c>
      <c r="E89" s="1">
        <f t="shared" si="45"/>
        <v>1197.7292899408285</v>
      </c>
      <c r="F89" s="1">
        <f t="shared" si="45"/>
        <v>1038.9940828402368</v>
      </c>
      <c r="G89" s="1">
        <f t="shared" si="45"/>
        <v>15703.241124260356</v>
      </c>
      <c r="H89" s="1">
        <f t="shared" si="45"/>
        <v>1038.9940828402368</v>
      </c>
      <c r="I89" s="1">
        <f t="shared" si="45"/>
        <v>18173.738165680472</v>
      </c>
      <c r="J89" s="1">
        <f t="shared" si="45"/>
        <v>1038.9940828402368</v>
      </c>
      <c r="K89" s="1">
        <f t="shared" si="45"/>
        <v>1038.9940828402368</v>
      </c>
      <c r="L89" s="1">
        <f t="shared" si="45"/>
        <v>1038.9940828402368</v>
      </c>
      <c r="M89" s="1"/>
      <c r="N89" s="1"/>
      <c r="O89" s="1"/>
      <c r="P89" s="1"/>
      <c r="Q89" s="1"/>
      <c r="R89" s="1"/>
      <c r="S89" s="1"/>
    </row>
    <row r="90" spans="1:19" ht="18.75" hidden="1" customHeight="1" x14ac:dyDescent="0.25">
      <c r="A90" s="2"/>
      <c r="B90" s="1" t="s">
        <v>15</v>
      </c>
      <c r="C90" s="1">
        <f t="shared" si="44"/>
        <v>1038.9940828402368</v>
      </c>
      <c r="D90" s="1">
        <f t="shared" si="45"/>
        <v>7902.1272189349111</v>
      </c>
      <c r="E90" s="1">
        <f t="shared" si="45"/>
        <v>1197.7292899408285</v>
      </c>
      <c r="F90" s="1">
        <f t="shared" si="45"/>
        <v>1038.9940828402368</v>
      </c>
      <c r="G90" s="1">
        <f t="shared" si="45"/>
        <v>15703.241124260356</v>
      </c>
      <c r="H90" s="1">
        <f t="shared" si="45"/>
        <v>1038.9940828402368</v>
      </c>
      <c r="I90" s="1">
        <f t="shared" si="45"/>
        <v>18173.738165680472</v>
      </c>
      <c r="J90" s="1">
        <f t="shared" si="45"/>
        <v>1038.9940828402368</v>
      </c>
      <c r="K90" s="1">
        <f t="shared" si="45"/>
        <v>1038.9940828402368</v>
      </c>
      <c r="L90" s="1">
        <f t="shared" si="45"/>
        <v>1038.9940828402368</v>
      </c>
      <c r="M90" s="1"/>
      <c r="N90" s="1"/>
      <c r="O90" s="1"/>
      <c r="P90" s="1"/>
      <c r="Q90" s="1"/>
      <c r="R90" s="1"/>
      <c r="S90" s="1"/>
    </row>
    <row r="91" spans="1:19" ht="18.75" hidden="1" customHeight="1" x14ac:dyDescent="0.25">
      <c r="A91" s="2"/>
      <c r="B91" s="1" t="s">
        <v>14</v>
      </c>
      <c r="C91" s="1">
        <f t="shared" si="44"/>
        <v>1038.9940828402368</v>
      </c>
      <c r="D91" s="1">
        <f t="shared" si="45"/>
        <v>7902.1272189349111</v>
      </c>
      <c r="E91" s="1">
        <f t="shared" si="45"/>
        <v>1197.7292899408285</v>
      </c>
      <c r="F91" s="1">
        <f t="shared" si="45"/>
        <v>1038.9940828402368</v>
      </c>
      <c r="G91" s="1">
        <f t="shared" si="45"/>
        <v>15703.241124260356</v>
      </c>
      <c r="H91" s="1">
        <f t="shared" si="45"/>
        <v>1038.9940828402368</v>
      </c>
      <c r="I91" s="1">
        <f t="shared" si="45"/>
        <v>18173.738165680472</v>
      </c>
      <c r="J91" s="1">
        <f t="shared" si="45"/>
        <v>1038.9940828402368</v>
      </c>
      <c r="K91" s="1">
        <f t="shared" si="45"/>
        <v>1038.9940828402368</v>
      </c>
      <c r="L91" s="1">
        <f t="shared" si="45"/>
        <v>1038.9940828402368</v>
      </c>
      <c r="M91" s="1"/>
      <c r="N91" s="1"/>
      <c r="O91" s="1"/>
      <c r="P91" s="1"/>
      <c r="Q91" s="1"/>
      <c r="R91" s="1"/>
      <c r="S91" s="1"/>
    </row>
    <row r="92" spans="1:19" ht="18.75" hidden="1" customHeight="1" x14ac:dyDescent="0.25">
      <c r="A92" s="2"/>
      <c r="B92" s="1" t="s">
        <v>13</v>
      </c>
      <c r="C92" s="1">
        <f t="shared" si="44"/>
        <v>1038.9940828402368</v>
      </c>
      <c r="D92" s="1">
        <f t="shared" si="45"/>
        <v>7902.1272189349111</v>
      </c>
      <c r="E92" s="1">
        <f t="shared" si="45"/>
        <v>1197.7292899408285</v>
      </c>
      <c r="F92" s="1">
        <f t="shared" si="45"/>
        <v>1038.9940828402368</v>
      </c>
      <c r="G92" s="1">
        <f t="shared" si="45"/>
        <v>15703.241124260356</v>
      </c>
      <c r="H92" s="1">
        <f t="shared" si="45"/>
        <v>1038.9940828402368</v>
      </c>
      <c r="I92" s="1">
        <f t="shared" si="45"/>
        <v>18173.738165680472</v>
      </c>
      <c r="J92" s="1">
        <f t="shared" si="45"/>
        <v>1038.9940828402368</v>
      </c>
      <c r="K92" s="1">
        <f t="shared" si="45"/>
        <v>1038.9940828402368</v>
      </c>
      <c r="L92" s="1">
        <f t="shared" si="45"/>
        <v>1038.9940828402368</v>
      </c>
      <c r="M92" s="1"/>
      <c r="N92" s="1"/>
      <c r="O92" s="1"/>
      <c r="P92" s="1"/>
      <c r="Q92" s="1"/>
      <c r="R92" s="1"/>
      <c r="S92" s="1"/>
    </row>
    <row r="93" spans="1:19" ht="18.75" hidden="1" customHeight="1" x14ac:dyDescent="0.25">
      <c r="A93" s="2"/>
      <c r="B93" s="1" t="s">
        <v>12</v>
      </c>
      <c r="C93" s="1">
        <f t="shared" si="44"/>
        <v>1038.9940828402368</v>
      </c>
      <c r="D93" s="1">
        <f t="shared" si="45"/>
        <v>7902.1272189349111</v>
      </c>
      <c r="E93" s="1">
        <f t="shared" si="45"/>
        <v>1197.7292899408285</v>
      </c>
      <c r="F93" s="1">
        <f t="shared" si="45"/>
        <v>1038.9940828402368</v>
      </c>
      <c r="G93" s="1">
        <f t="shared" si="45"/>
        <v>15703.241124260356</v>
      </c>
      <c r="H93" s="1">
        <f t="shared" si="45"/>
        <v>1038.9940828402368</v>
      </c>
      <c r="I93" s="1">
        <f t="shared" si="45"/>
        <v>18173.738165680472</v>
      </c>
      <c r="J93" s="1">
        <f t="shared" si="45"/>
        <v>1038.9940828402368</v>
      </c>
      <c r="K93" s="1">
        <f t="shared" si="45"/>
        <v>1038.9940828402368</v>
      </c>
      <c r="L93" s="1">
        <f t="shared" si="45"/>
        <v>1038.9940828402368</v>
      </c>
      <c r="M93" s="1"/>
      <c r="N93" s="1"/>
      <c r="O93" s="1"/>
      <c r="P93" s="1"/>
      <c r="Q93" s="1"/>
      <c r="R93" s="1"/>
      <c r="S93" s="1"/>
    </row>
    <row r="94" spans="1:19" ht="18.75" hidden="1" customHeight="1" x14ac:dyDescent="0.25">
      <c r="A94" s="2"/>
      <c r="B94" s="1" t="s">
        <v>11</v>
      </c>
      <c r="C94" s="1">
        <f t="shared" si="44"/>
        <v>1038.9940828402368</v>
      </c>
      <c r="D94" s="1">
        <f t="shared" si="45"/>
        <v>7902.1272189349111</v>
      </c>
      <c r="E94" s="1">
        <f t="shared" si="45"/>
        <v>1197.7292899408285</v>
      </c>
      <c r="F94" s="1">
        <f t="shared" si="45"/>
        <v>1038.9940828402368</v>
      </c>
      <c r="G94" s="1">
        <f t="shared" si="45"/>
        <v>15703.241124260356</v>
      </c>
      <c r="H94" s="1">
        <f t="shared" si="45"/>
        <v>1038.9940828402368</v>
      </c>
      <c r="I94" s="1">
        <f t="shared" si="45"/>
        <v>18173.738165680472</v>
      </c>
      <c r="J94" s="1">
        <f t="shared" si="45"/>
        <v>1038.9940828402368</v>
      </c>
      <c r="K94" s="1">
        <f t="shared" si="45"/>
        <v>1038.9940828402368</v>
      </c>
      <c r="L94" s="1">
        <f t="shared" si="45"/>
        <v>1038.9940828402368</v>
      </c>
      <c r="M94" s="1"/>
      <c r="N94" s="1"/>
      <c r="O94" s="1"/>
      <c r="P94" s="1"/>
      <c r="Q94" s="1"/>
      <c r="R94" s="1"/>
      <c r="S94" s="1"/>
    </row>
    <row r="95" spans="1:19" ht="18.75" hidden="1" customHeight="1" x14ac:dyDescent="0.25">
      <c r="A95" s="2"/>
      <c r="B95" s="14" t="s">
        <v>10</v>
      </c>
      <c r="C95" s="14">
        <f t="shared" si="44"/>
        <v>1038.9940828402368</v>
      </c>
      <c r="D95" s="14">
        <f t="shared" si="45"/>
        <v>7902.1272189349111</v>
      </c>
      <c r="E95" s="14">
        <f t="shared" si="45"/>
        <v>1197.7292899408285</v>
      </c>
      <c r="F95" s="14">
        <f t="shared" si="45"/>
        <v>1038.9940828402368</v>
      </c>
      <c r="G95" s="14">
        <f t="shared" si="45"/>
        <v>15703.241124260356</v>
      </c>
      <c r="H95" s="14">
        <f t="shared" si="45"/>
        <v>1038.9940828402368</v>
      </c>
      <c r="I95" s="14">
        <f t="shared" si="45"/>
        <v>18173.738165680472</v>
      </c>
      <c r="J95" s="14">
        <f t="shared" si="45"/>
        <v>1038.9940828402368</v>
      </c>
      <c r="K95" s="14">
        <f t="shared" si="45"/>
        <v>1038.9940828402368</v>
      </c>
      <c r="L95" s="14">
        <f t="shared" si="45"/>
        <v>1038.9940828402368</v>
      </c>
      <c r="M95" s="1"/>
      <c r="N95" s="1"/>
      <c r="O95" s="1"/>
      <c r="P95" s="1"/>
      <c r="Q95" s="1"/>
      <c r="R95" s="1"/>
      <c r="S95" s="1"/>
    </row>
    <row r="96" spans="1:19" ht="18.75" hidden="1" customHeight="1" x14ac:dyDescent="0.25">
      <c r="A96" s="2"/>
      <c r="B96" s="1" t="s">
        <v>192</v>
      </c>
      <c r="C96" s="3">
        <f>360+IF(C$14&lt;$O$19,0,(C$14-$O$19)*$P$19*IF(OR(C$13=$E$7,C$13=$E$8),0.5,1))+IF(ISNUMBER(SEARCH($E$5,C$13)),$S$3+C$14*$S$4,0)</f>
        <v>360</v>
      </c>
      <c r="D96" s="3">
        <f t="shared" ref="D96:L96" si="46">360+IF(D$14&lt;$O$19,0,(D$14-$O$19)*$P$19*IF(OR(D$13=$E$7,D$13=$E$8),0.5,1))+IF(ISNUMBER(SEARCH($E$5,D$13)),$S$3+D$14*$S$4,0)</f>
        <v>646</v>
      </c>
      <c r="E96" s="3">
        <f t="shared" si="46"/>
        <v>415</v>
      </c>
      <c r="F96" s="3">
        <f t="shared" si="46"/>
        <v>360</v>
      </c>
      <c r="G96" s="3">
        <f t="shared" si="46"/>
        <v>1284</v>
      </c>
      <c r="H96" s="3">
        <f t="shared" si="46"/>
        <v>360</v>
      </c>
      <c r="I96" s="3">
        <f t="shared" si="46"/>
        <v>1460</v>
      </c>
      <c r="J96" s="3">
        <f t="shared" si="46"/>
        <v>360</v>
      </c>
      <c r="K96" s="3">
        <f t="shared" si="46"/>
        <v>360</v>
      </c>
      <c r="L96" s="3">
        <f t="shared" si="46"/>
        <v>360</v>
      </c>
      <c r="M96" s="1"/>
      <c r="N96" s="1"/>
      <c r="O96" s="1"/>
      <c r="P96" s="1"/>
      <c r="Q96" s="1"/>
      <c r="R96" s="1"/>
      <c r="S96" s="1"/>
    </row>
    <row r="97" spans="1:19" ht="18.75" hidden="1" customHeight="1" x14ac:dyDescent="0.25">
      <c r="A97" s="2"/>
      <c r="B97" s="1" t="s">
        <v>193</v>
      </c>
      <c r="C97" s="1">
        <f>C$96</f>
        <v>360</v>
      </c>
      <c r="D97" s="1">
        <f t="shared" ref="D97:L98" si="47">D$96</f>
        <v>646</v>
      </c>
      <c r="E97" s="1">
        <f t="shared" si="47"/>
        <v>415</v>
      </c>
      <c r="F97" s="1">
        <f t="shared" si="47"/>
        <v>360</v>
      </c>
      <c r="G97" s="1">
        <f t="shared" si="47"/>
        <v>1284</v>
      </c>
      <c r="H97" s="1">
        <f t="shared" si="47"/>
        <v>360</v>
      </c>
      <c r="I97" s="1">
        <f t="shared" si="47"/>
        <v>1460</v>
      </c>
      <c r="J97" s="1">
        <f t="shared" si="47"/>
        <v>360</v>
      </c>
      <c r="K97" s="1">
        <f t="shared" si="47"/>
        <v>360</v>
      </c>
      <c r="L97" s="1">
        <f t="shared" si="47"/>
        <v>360</v>
      </c>
      <c r="M97" s="1"/>
      <c r="N97" s="1"/>
      <c r="O97" s="1"/>
      <c r="P97" s="1"/>
      <c r="Q97" s="1"/>
      <c r="R97" s="1"/>
      <c r="S97" s="1"/>
    </row>
    <row r="98" spans="1:19" ht="18.75" hidden="1" customHeight="1" x14ac:dyDescent="0.25">
      <c r="A98" s="2"/>
      <c r="B98" s="1" t="s">
        <v>194</v>
      </c>
      <c r="C98" s="1">
        <f>C$96</f>
        <v>360</v>
      </c>
      <c r="D98" s="1">
        <f t="shared" si="47"/>
        <v>646</v>
      </c>
      <c r="E98" s="1">
        <f t="shared" si="47"/>
        <v>415</v>
      </c>
      <c r="F98" s="1">
        <f t="shared" si="47"/>
        <v>360</v>
      </c>
      <c r="G98" s="1">
        <f t="shared" si="47"/>
        <v>1284</v>
      </c>
      <c r="H98" s="1">
        <f t="shared" si="47"/>
        <v>360</v>
      </c>
      <c r="I98" s="1">
        <f t="shared" si="47"/>
        <v>1460</v>
      </c>
      <c r="J98" s="1">
        <f t="shared" si="47"/>
        <v>360</v>
      </c>
      <c r="K98" s="1">
        <f t="shared" si="47"/>
        <v>360</v>
      </c>
      <c r="L98" s="1">
        <f t="shared" si="47"/>
        <v>360</v>
      </c>
      <c r="M98" s="1"/>
      <c r="N98" s="1"/>
      <c r="O98" s="1"/>
      <c r="P98" s="1"/>
      <c r="Q98" s="1"/>
      <c r="R98" s="1"/>
      <c r="S98" s="1"/>
    </row>
    <row r="99" spans="1:19" ht="18.75" hidden="1" customHeight="1" x14ac:dyDescent="0.25">
      <c r="A99" s="2"/>
      <c r="B99" s="1" t="s">
        <v>195</v>
      </c>
      <c r="C99" s="1">
        <v>0</v>
      </c>
      <c r="D99" s="1">
        <v>0</v>
      </c>
      <c r="E99" s="1">
        <v>0</v>
      </c>
      <c r="F99" s="1">
        <v>0</v>
      </c>
      <c r="G99" s="1">
        <v>0</v>
      </c>
      <c r="H99" s="1">
        <v>0</v>
      </c>
      <c r="I99" s="1">
        <v>0</v>
      </c>
      <c r="J99" s="1">
        <v>0</v>
      </c>
      <c r="K99" s="1">
        <v>0</v>
      </c>
      <c r="L99" s="1">
        <v>0</v>
      </c>
      <c r="M99" s="1"/>
      <c r="N99" s="1"/>
      <c r="O99" s="1"/>
      <c r="P99" s="1"/>
      <c r="Q99" s="1"/>
      <c r="R99" s="1"/>
      <c r="S99" s="1"/>
    </row>
    <row r="100" spans="1:19" ht="18.75" hidden="1" customHeight="1" x14ac:dyDescent="0.25">
      <c r="A100" s="2"/>
      <c r="B100" s="1" t="s">
        <v>196</v>
      </c>
      <c r="C100" s="1">
        <v>0</v>
      </c>
      <c r="D100" s="1">
        <v>0</v>
      </c>
      <c r="E100" s="1">
        <v>0</v>
      </c>
      <c r="F100" s="1">
        <v>0</v>
      </c>
      <c r="G100" s="1">
        <v>0</v>
      </c>
      <c r="H100" s="1">
        <v>0</v>
      </c>
      <c r="I100" s="1">
        <v>0</v>
      </c>
      <c r="J100" s="1">
        <v>0</v>
      </c>
      <c r="K100" s="1">
        <v>0</v>
      </c>
      <c r="L100" s="1">
        <v>0</v>
      </c>
      <c r="M100" s="1"/>
      <c r="N100" s="1"/>
      <c r="O100" s="1"/>
      <c r="P100" s="1"/>
      <c r="Q100" s="1"/>
      <c r="R100" s="1"/>
      <c r="S100" s="1"/>
    </row>
    <row r="101" spans="1:19" ht="18.75" hidden="1" customHeight="1" x14ac:dyDescent="0.25">
      <c r="A101" s="2"/>
      <c r="B101" s="1" t="s">
        <v>197</v>
      </c>
      <c r="C101" s="1">
        <v>0</v>
      </c>
      <c r="D101" s="1">
        <v>0</v>
      </c>
      <c r="E101" s="1">
        <v>0</v>
      </c>
      <c r="F101" s="1">
        <v>0</v>
      </c>
      <c r="G101" s="1">
        <v>0</v>
      </c>
      <c r="H101" s="1">
        <v>0</v>
      </c>
      <c r="I101" s="1">
        <v>0</v>
      </c>
      <c r="J101" s="1">
        <v>0</v>
      </c>
      <c r="K101" s="1">
        <v>0</v>
      </c>
      <c r="L101" s="1">
        <v>0</v>
      </c>
      <c r="M101" s="1"/>
      <c r="N101" s="1"/>
      <c r="O101" s="1"/>
      <c r="P101" s="1"/>
      <c r="Q101" s="1"/>
      <c r="R101" s="1"/>
      <c r="S101" s="1"/>
    </row>
    <row r="102" spans="1:19" ht="18.75" hidden="1" customHeight="1" x14ac:dyDescent="0.25">
      <c r="A102" s="2"/>
      <c r="B102" s="1" t="s">
        <v>198</v>
      </c>
      <c r="C102" s="1">
        <v>0</v>
      </c>
      <c r="D102" s="1">
        <v>0</v>
      </c>
      <c r="E102" s="1">
        <v>0</v>
      </c>
      <c r="F102" s="1">
        <v>0</v>
      </c>
      <c r="G102" s="1">
        <v>0</v>
      </c>
      <c r="H102" s="1">
        <v>0</v>
      </c>
      <c r="I102" s="1">
        <v>0</v>
      </c>
      <c r="J102" s="1">
        <v>0</v>
      </c>
      <c r="K102" s="1">
        <v>0</v>
      </c>
      <c r="L102" s="1">
        <v>0</v>
      </c>
      <c r="M102" s="1"/>
      <c r="N102" s="1"/>
      <c r="O102" s="1"/>
      <c r="P102" s="1"/>
      <c r="Q102" s="1"/>
      <c r="R102" s="1"/>
      <c r="S102" s="1"/>
    </row>
    <row r="103" spans="1:19" ht="18.75" hidden="1" customHeight="1" x14ac:dyDescent="0.25">
      <c r="A103" s="2"/>
      <c r="B103" s="1" t="s">
        <v>199</v>
      </c>
      <c r="C103" s="1">
        <v>0</v>
      </c>
      <c r="D103" s="1">
        <v>0</v>
      </c>
      <c r="E103" s="1">
        <v>0</v>
      </c>
      <c r="F103" s="1">
        <v>0</v>
      </c>
      <c r="G103" s="1">
        <v>0</v>
      </c>
      <c r="H103" s="1">
        <v>0</v>
      </c>
      <c r="I103" s="1">
        <v>0</v>
      </c>
      <c r="J103" s="1">
        <v>0</v>
      </c>
      <c r="K103" s="1">
        <v>0</v>
      </c>
      <c r="L103" s="1">
        <v>0</v>
      </c>
      <c r="M103" s="1"/>
      <c r="N103" s="1"/>
      <c r="O103" s="1"/>
      <c r="P103" s="1"/>
      <c r="Q103" s="1"/>
      <c r="R103" s="1"/>
      <c r="S103" s="1"/>
    </row>
    <row r="104" spans="1:19" ht="18.75" hidden="1" customHeight="1" x14ac:dyDescent="0.25">
      <c r="A104" s="2"/>
      <c r="B104" s="1" t="s">
        <v>200</v>
      </c>
      <c r="C104" s="1">
        <v>0</v>
      </c>
      <c r="D104" s="1">
        <v>0</v>
      </c>
      <c r="E104" s="1">
        <v>0</v>
      </c>
      <c r="F104" s="1">
        <v>0</v>
      </c>
      <c r="G104" s="1">
        <v>0</v>
      </c>
      <c r="H104" s="1">
        <v>0</v>
      </c>
      <c r="I104" s="1">
        <v>0</v>
      </c>
      <c r="J104" s="1">
        <v>0</v>
      </c>
      <c r="K104" s="1">
        <v>0</v>
      </c>
      <c r="L104" s="1">
        <v>0</v>
      </c>
      <c r="M104" s="1"/>
      <c r="N104" s="1"/>
      <c r="O104" s="1"/>
      <c r="P104" s="1"/>
      <c r="Q104" s="1"/>
      <c r="R104" s="1"/>
      <c r="S104" s="1"/>
    </row>
    <row r="105" spans="1:19" ht="18.75" hidden="1" customHeight="1" x14ac:dyDescent="0.25">
      <c r="A105" s="2"/>
      <c r="B105" s="14" t="s">
        <v>201</v>
      </c>
      <c r="C105" s="14">
        <v>0</v>
      </c>
      <c r="D105" s="14">
        <v>0</v>
      </c>
      <c r="E105" s="14">
        <v>0</v>
      </c>
      <c r="F105" s="14">
        <v>0</v>
      </c>
      <c r="G105" s="14">
        <v>0</v>
      </c>
      <c r="H105" s="14">
        <v>0</v>
      </c>
      <c r="I105" s="14">
        <v>0</v>
      </c>
      <c r="J105" s="14">
        <v>0</v>
      </c>
      <c r="K105" s="14">
        <v>0</v>
      </c>
      <c r="L105" s="14">
        <v>0</v>
      </c>
      <c r="M105" s="1"/>
      <c r="N105" s="1"/>
      <c r="O105" s="1"/>
      <c r="P105" s="1"/>
      <c r="Q105" s="1"/>
      <c r="R105" s="1"/>
      <c r="S105" s="1"/>
    </row>
    <row r="106" spans="1:19" ht="18.75" hidden="1" customHeight="1" x14ac:dyDescent="0.25">
      <c r="A106" s="2"/>
      <c r="B106" s="1" t="s">
        <v>202</v>
      </c>
      <c r="C106" s="1">
        <f>C$96</f>
        <v>360</v>
      </c>
      <c r="D106" s="1">
        <f t="shared" ref="D106:L106" si="48">D$96</f>
        <v>646</v>
      </c>
      <c r="E106" s="1">
        <f t="shared" si="48"/>
        <v>415</v>
      </c>
      <c r="F106" s="1">
        <f t="shared" si="48"/>
        <v>360</v>
      </c>
      <c r="G106" s="1">
        <f t="shared" si="48"/>
        <v>1284</v>
      </c>
      <c r="H106" s="1">
        <f t="shared" si="48"/>
        <v>360</v>
      </c>
      <c r="I106" s="1">
        <f t="shared" si="48"/>
        <v>1460</v>
      </c>
      <c r="J106" s="1">
        <f t="shared" si="48"/>
        <v>360</v>
      </c>
      <c r="K106" s="1">
        <f t="shared" si="48"/>
        <v>360</v>
      </c>
      <c r="L106" s="1">
        <f t="shared" si="48"/>
        <v>360</v>
      </c>
      <c r="M106" s="1"/>
      <c r="N106" s="1"/>
      <c r="O106" s="1"/>
      <c r="P106" s="1"/>
      <c r="Q106" s="1"/>
      <c r="R106" s="1"/>
      <c r="S106" s="1"/>
    </row>
    <row r="107" spans="1:19" ht="18.75" hidden="1" customHeight="1" x14ac:dyDescent="0.25">
      <c r="A107" s="2"/>
      <c r="B107" s="1" t="s">
        <v>203</v>
      </c>
      <c r="C107" s="1">
        <f t="shared" ref="C107:L107" si="49">C$96+NPV($J$2,C97)</f>
        <v>706.15384615384619</v>
      </c>
      <c r="D107" s="1">
        <f t="shared" si="49"/>
        <v>1267.1538461538462</v>
      </c>
      <c r="E107" s="1">
        <f t="shared" si="49"/>
        <v>814.03846153846155</v>
      </c>
      <c r="F107" s="1">
        <f t="shared" si="49"/>
        <v>706.15384615384619</v>
      </c>
      <c r="G107" s="1">
        <f t="shared" si="49"/>
        <v>2518.6153846153848</v>
      </c>
      <c r="H107" s="1">
        <f t="shared" si="49"/>
        <v>706.15384615384619</v>
      </c>
      <c r="I107" s="1">
        <f t="shared" si="49"/>
        <v>2863.8461538461538</v>
      </c>
      <c r="J107" s="1">
        <f t="shared" si="49"/>
        <v>706.15384615384619</v>
      </c>
      <c r="K107" s="1">
        <f t="shared" si="49"/>
        <v>706.15384615384619</v>
      </c>
      <c r="L107" s="1">
        <f t="shared" si="49"/>
        <v>706.15384615384619</v>
      </c>
      <c r="M107" s="1"/>
      <c r="N107" s="1"/>
      <c r="O107" s="1"/>
      <c r="P107" s="1"/>
      <c r="Q107" s="1"/>
      <c r="R107" s="1"/>
      <c r="S107" s="1"/>
    </row>
    <row r="108" spans="1:19" ht="18.75" hidden="1" customHeight="1" x14ac:dyDescent="0.25">
      <c r="A108" s="2"/>
      <c r="B108" s="1" t="s">
        <v>204</v>
      </c>
      <c r="C108" s="1">
        <f t="shared" ref="C108:L108" si="50">C$96+NPV($J$2,C97:C98)</f>
        <v>1038.9940828402368</v>
      </c>
      <c r="D108" s="1">
        <f t="shared" si="50"/>
        <v>1864.4171597633135</v>
      </c>
      <c r="E108" s="1">
        <f t="shared" si="50"/>
        <v>1197.7292899408285</v>
      </c>
      <c r="F108" s="1">
        <f t="shared" si="50"/>
        <v>1038.9940828402368</v>
      </c>
      <c r="G108" s="1">
        <f t="shared" si="50"/>
        <v>3705.7455621301774</v>
      </c>
      <c r="H108" s="1">
        <f t="shared" si="50"/>
        <v>1038.9940828402368</v>
      </c>
      <c r="I108" s="1">
        <f t="shared" si="50"/>
        <v>4213.6982248520708</v>
      </c>
      <c r="J108" s="1">
        <f t="shared" si="50"/>
        <v>1038.9940828402368</v>
      </c>
      <c r="K108" s="1">
        <f t="shared" si="50"/>
        <v>1038.9940828402368</v>
      </c>
      <c r="L108" s="1">
        <f t="shared" si="50"/>
        <v>1038.9940828402368</v>
      </c>
      <c r="M108" s="1"/>
      <c r="N108" s="1"/>
      <c r="O108" s="1"/>
      <c r="P108" s="1"/>
      <c r="Q108" s="1"/>
      <c r="R108" s="1"/>
      <c r="S108" s="1"/>
    </row>
    <row r="109" spans="1:19" ht="18.75" hidden="1" customHeight="1" x14ac:dyDescent="0.25">
      <c r="A109" s="2"/>
      <c r="B109" s="1" t="s">
        <v>205</v>
      </c>
      <c r="C109" s="1">
        <f t="shared" ref="C109:C115" si="51">C$108</f>
        <v>1038.9940828402368</v>
      </c>
      <c r="D109" s="1">
        <f t="shared" ref="D109:L115" si="52">D$108</f>
        <v>1864.4171597633135</v>
      </c>
      <c r="E109" s="1">
        <f t="shared" si="52"/>
        <v>1197.7292899408285</v>
      </c>
      <c r="F109" s="1">
        <f t="shared" si="52"/>
        <v>1038.9940828402368</v>
      </c>
      <c r="G109" s="1">
        <f t="shared" si="52"/>
        <v>3705.7455621301774</v>
      </c>
      <c r="H109" s="1">
        <f t="shared" si="52"/>
        <v>1038.9940828402368</v>
      </c>
      <c r="I109" s="1">
        <f t="shared" si="52"/>
        <v>4213.6982248520708</v>
      </c>
      <c r="J109" s="1">
        <f t="shared" si="52"/>
        <v>1038.9940828402368</v>
      </c>
      <c r="K109" s="1">
        <f t="shared" si="52"/>
        <v>1038.9940828402368</v>
      </c>
      <c r="L109" s="1">
        <f t="shared" si="52"/>
        <v>1038.9940828402368</v>
      </c>
      <c r="M109" s="1"/>
      <c r="N109" s="1"/>
      <c r="O109" s="1"/>
      <c r="P109" s="1"/>
      <c r="Q109" s="1"/>
      <c r="R109" s="1"/>
      <c r="S109" s="1"/>
    </row>
    <row r="110" spans="1:19" ht="18.75" hidden="1" customHeight="1" x14ac:dyDescent="0.25">
      <c r="A110" s="2"/>
      <c r="B110" s="1" t="s">
        <v>206</v>
      </c>
      <c r="C110" s="1">
        <f t="shared" si="51"/>
        <v>1038.9940828402368</v>
      </c>
      <c r="D110" s="1">
        <f t="shared" si="52"/>
        <v>1864.4171597633135</v>
      </c>
      <c r="E110" s="1">
        <f t="shared" si="52"/>
        <v>1197.7292899408285</v>
      </c>
      <c r="F110" s="1">
        <f t="shared" si="52"/>
        <v>1038.9940828402368</v>
      </c>
      <c r="G110" s="1">
        <f t="shared" si="52"/>
        <v>3705.7455621301774</v>
      </c>
      <c r="H110" s="1">
        <f t="shared" si="52"/>
        <v>1038.9940828402368</v>
      </c>
      <c r="I110" s="1">
        <f t="shared" si="52"/>
        <v>4213.6982248520708</v>
      </c>
      <c r="J110" s="1">
        <f t="shared" si="52"/>
        <v>1038.9940828402368</v>
      </c>
      <c r="K110" s="1">
        <f t="shared" si="52"/>
        <v>1038.9940828402368</v>
      </c>
      <c r="L110" s="1">
        <f t="shared" si="52"/>
        <v>1038.9940828402368</v>
      </c>
      <c r="M110" s="1"/>
      <c r="N110" s="1"/>
      <c r="O110" s="1"/>
      <c r="P110" s="1"/>
      <c r="Q110" s="1"/>
      <c r="R110" s="1"/>
      <c r="S110" s="1"/>
    </row>
    <row r="111" spans="1:19" ht="18.75" hidden="1" customHeight="1" x14ac:dyDescent="0.25">
      <c r="A111" s="2"/>
      <c r="B111" s="1" t="s">
        <v>207</v>
      </c>
      <c r="C111" s="1">
        <f t="shared" si="51"/>
        <v>1038.9940828402368</v>
      </c>
      <c r="D111" s="1">
        <f t="shared" si="52"/>
        <v>1864.4171597633135</v>
      </c>
      <c r="E111" s="1">
        <f t="shared" si="52"/>
        <v>1197.7292899408285</v>
      </c>
      <c r="F111" s="1">
        <f t="shared" si="52"/>
        <v>1038.9940828402368</v>
      </c>
      <c r="G111" s="1">
        <f t="shared" si="52"/>
        <v>3705.7455621301774</v>
      </c>
      <c r="H111" s="1">
        <f t="shared" si="52"/>
        <v>1038.9940828402368</v>
      </c>
      <c r="I111" s="1">
        <f t="shared" si="52"/>
        <v>4213.6982248520708</v>
      </c>
      <c r="J111" s="1">
        <f t="shared" si="52"/>
        <v>1038.9940828402368</v>
      </c>
      <c r="K111" s="1">
        <f t="shared" si="52"/>
        <v>1038.9940828402368</v>
      </c>
      <c r="L111" s="1">
        <f t="shared" si="52"/>
        <v>1038.9940828402368</v>
      </c>
      <c r="M111" s="1"/>
      <c r="N111" s="1"/>
      <c r="O111" s="1"/>
      <c r="P111" s="1"/>
      <c r="Q111" s="1"/>
      <c r="R111" s="1"/>
      <c r="S111" s="1"/>
    </row>
    <row r="112" spans="1:19" ht="18.75" hidden="1" customHeight="1" x14ac:dyDescent="0.25">
      <c r="A112" s="2"/>
      <c r="B112" s="1" t="s">
        <v>208</v>
      </c>
      <c r="C112" s="1">
        <f t="shared" si="51"/>
        <v>1038.9940828402368</v>
      </c>
      <c r="D112" s="1">
        <f t="shared" si="52"/>
        <v>1864.4171597633135</v>
      </c>
      <c r="E112" s="1">
        <f t="shared" si="52"/>
        <v>1197.7292899408285</v>
      </c>
      <c r="F112" s="1">
        <f t="shared" si="52"/>
        <v>1038.9940828402368</v>
      </c>
      <c r="G112" s="1">
        <f t="shared" si="52"/>
        <v>3705.7455621301774</v>
      </c>
      <c r="H112" s="1">
        <f t="shared" si="52"/>
        <v>1038.9940828402368</v>
      </c>
      <c r="I112" s="1">
        <f t="shared" si="52"/>
        <v>4213.6982248520708</v>
      </c>
      <c r="J112" s="1">
        <f t="shared" si="52"/>
        <v>1038.9940828402368</v>
      </c>
      <c r="K112" s="1">
        <f t="shared" si="52"/>
        <v>1038.9940828402368</v>
      </c>
      <c r="L112" s="1">
        <f t="shared" si="52"/>
        <v>1038.9940828402368</v>
      </c>
      <c r="M112" s="1"/>
      <c r="N112" s="1"/>
      <c r="O112" s="1"/>
      <c r="P112" s="1"/>
      <c r="Q112" s="1"/>
      <c r="R112" s="1"/>
      <c r="S112" s="1"/>
    </row>
    <row r="113" spans="1:19" ht="18.75" hidden="1" customHeight="1" x14ac:dyDescent="0.25">
      <c r="A113" s="2"/>
      <c r="B113" s="1" t="s">
        <v>209</v>
      </c>
      <c r="C113" s="1">
        <f t="shared" si="51"/>
        <v>1038.9940828402368</v>
      </c>
      <c r="D113" s="1">
        <f t="shared" si="52"/>
        <v>1864.4171597633135</v>
      </c>
      <c r="E113" s="1">
        <f t="shared" si="52"/>
        <v>1197.7292899408285</v>
      </c>
      <c r="F113" s="1">
        <f t="shared" si="52"/>
        <v>1038.9940828402368</v>
      </c>
      <c r="G113" s="1">
        <f t="shared" si="52"/>
        <v>3705.7455621301774</v>
      </c>
      <c r="H113" s="1">
        <f t="shared" si="52"/>
        <v>1038.9940828402368</v>
      </c>
      <c r="I113" s="1">
        <f t="shared" si="52"/>
        <v>4213.6982248520708</v>
      </c>
      <c r="J113" s="1">
        <f t="shared" si="52"/>
        <v>1038.9940828402368</v>
      </c>
      <c r="K113" s="1">
        <f t="shared" si="52"/>
        <v>1038.9940828402368</v>
      </c>
      <c r="L113" s="1">
        <f t="shared" si="52"/>
        <v>1038.9940828402368</v>
      </c>
      <c r="M113" s="1"/>
      <c r="N113" s="1"/>
      <c r="O113" s="1"/>
      <c r="P113" s="1"/>
      <c r="Q113" s="1"/>
      <c r="R113" s="1"/>
      <c r="S113" s="1"/>
    </row>
    <row r="114" spans="1:19" ht="18.75" hidden="1" customHeight="1" x14ac:dyDescent="0.25">
      <c r="A114" s="2"/>
      <c r="B114" s="1" t="s">
        <v>210</v>
      </c>
      <c r="C114" s="1">
        <f t="shared" si="51"/>
        <v>1038.9940828402368</v>
      </c>
      <c r="D114" s="1">
        <f t="shared" si="52"/>
        <v>1864.4171597633135</v>
      </c>
      <c r="E114" s="1">
        <f t="shared" si="52"/>
        <v>1197.7292899408285</v>
      </c>
      <c r="F114" s="1">
        <f t="shared" si="52"/>
        <v>1038.9940828402368</v>
      </c>
      <c r="G114" s="1">
        <f t="shared" si="52"/>
        <v>3705.7455621301774</v>
      </c>
      <c r="H114" s="1">
        <f t="shared" si="52"/>
        <v>1038.9940828402368</v>
      </c>
      <c r="I114" s="1">
        <f t="shared" si="52"/>
        <v>4213.6982248520708</v>
      </c>
      <c r="J114" s="1">
        <f t="shared" si="52"/>
        <v>1038.9940828402368</v>
      </c>
      <c r="K114" s="1">
        <f t="shared" si="52"/>
        <v>1038.9940828402368</v>
      </c>
      <c r="L114" s="1">
        <f t="shared" si="52"/>
        <v>1038.9940828402368</v>
      </c>
      <c r="M114" s="1"/>
      <c r="N114" s="1"/>
      <c r="O114" s="1"/>
      <c r="P114" s="1"/>
      <c r="Q114" s="1"/>
      <c r="R114" s="1"/>
      <c r="S114" s="1"/>
    </row>
    <row r="115" spans="1:19" ht="18.75" hidden="1" customHeight="1" x14ac:dyDescent="0.25">
      <c r="A115" s="2"/>
      <c r="B115" s="14" t="s">
        <v>211</v>
      </c>
      <c r="C115" s="14">
        <f t="shared" si="51"/>
        <v>1038.9940828402368</v>
      </c>
      <c r="D115" s="14">
        <f t="shared" si="52"/>
        <v>1864.4171597633135</v>
      </c>
      <c r="E115" s="14">
        <f t="shared" si="52"/>
        <v>1197.7292899408285</v>
      </c>
      <c r="F115" s="14">
        <f t="shared" si="52"/>
        <v>1038.9940828402368</v>
      </c>
      <c r="G115" s="14">
        <f t="shared" si="52"/>
        <v>3705.7455621301774</v>
      </c>
      <c r="H115" s="14">
        <f t="shared" si="52"/>
        <v>1038.9940828402368</v>
      </c>
      <c r="I115" s="14">
        <f t="shared" si="52"/>
        <v>4213.6982248520708</v>
      </c>
      <c r="J115" s="14">
        <f t="shared" si="52"/>
        <v>1038.9940828402368</v>
      </c>
      <c r="K115" s="14">
        <f t="shared" si="52"/>
        <v>1038.9940828402368</v>
      </c>
      <c r="L115" s="14">
        <f t="shared" si="52"/>
        <v>1038.9940828402368</v>
      </c>
      <c r="M115" s="1"/>
      <c r="N115" s="1"/>
      <c r="O115" s="1"/>
      <c r="P115" s="1"/>
      <c r="Q115" s="1"/>
      <c r="R115" s="1"/>
      <c r="S115" s="1"/>
    </row>
    <row r="116" spans="1:19" ht="18.75" hidden="1" customHeight="1" x14ac:dyDescent="0.25">
      <c r="A116" s="2"/>
      <c r="B116" s="1" t="s">
        <v>182</v>
      </c>
      <c r="C116" s="1">
        <f t="shared" ref="C116:D116" si="53">(C19+C20)</f>
        <v>8500</v>
      </c>
      <c r="D116" s="1">
        <f t="shared" si="53"/>
        <v>9500</v>
      </c>
      <c r="E116" s="1">
        <f t="shared" ref="E116:L116" si="54">(E19+E20)</f>
        <v>11500</v>
      </c>
      <c r="F116" s="1">
        <f t="shared" si="54"/>
        <v>13000</v>
      </c>
      <c r="G116" s="1">
        <f t="shared" si="54"/>
        <v>10500</v>
      </c>
      <c r="H116" s="1">
        <f t="shared" si="54"/>
        <v>10000</v>
      </c>
      <c r="I116" s="1">
        <f t="shared" si="54"/>
        <v>11000</v>
      </c>
      <c r="J116" s="1">
        <f t="shared" si="54"/>
        <v>0</v>
      </c>
      <c r="K116" s="1">
        <f t="shared" si="54"/>
        <v>0</v>
      </c>
      <c r="L116" s="1">
        <f t="shared" si="54"/>
        <v>0</v>
      </c>
      <c r="M116" s="1"/>
      <c r="N116" s="1"/>
      <c r="O116" s="1"/>
      <c r="P116" s="1"/>
      <c r="Q116" s="1"/>
      <c r="R116" s="1"/>
      <c r="S116" s="1"/>
    </row>
    <row r="117" spans="1:19" ht="18.75" hidden="1" customHeight="1" x14ac:dyDescent="0.25">
      <c r="A117" s="2"/>
      <c r="B117" s="1" t="s">
        <v>183</v>
      </c>
      <c r="C117" s="1">
        <f t="shared" ref="C117:C126" si="55">C$116</f>
        <v>8500</v>
      </c>
      <c r="D117" s="1">
        <f t="shared" ref="D117:L126" si="56">D$116</f>
        <v>9500</v>
      </c>
      <c r="E117" s="1">
        <f t="shared" si="56"/>
        <v>11500</v>
      </c>
      <c r="F117" s="1">
        <f t="shared" si="56"/>
        <v>13000</v>
      </c>
      <c r="G117" s="1">
        <f t="shared" si="56"/>
        <v>10500</v>
      </c>
      <c r="H117" s="1">
        <f t="shared" si="56"/>
        <v>10000</v>
      </c>
      <c r="I117" s="1">
        <f t="shared" si="56"/>
        <v>11000</v>
      </c>
      <c r="J117" s="1">
        <f t="shared" si="56"/>
        <v>0</v>
      </c>
      <c r="K117" s="1">
        <f t="shared" si="56"/>
        <v>0</v>
      </c>
      <c r="L117" s="1">
        <f t="shared" si="56"/>
        <v>0</v>
      </c>
      <c r="M117" s="1"/>
      <c r="N117" s="1"/>
      <c r="O117" s="1"/>
      <c r="P117" s="1"/>
      <c r="Q117" s="1"/>
      <c r="R117" s="1"/>
      <c r="S117" s="1"/>
    </row>
    <row r="118" spans="1:19" ht="18.75" hidden="1" customHeight="1" x14ac:dyDescent="0.25">
      <c r="A118" s="2"/>
      <c r="B118" s="1" t="s">
        <v>184</v>
      </c>
      <c r="C118" s="1">
        <f t="shared" si="55"/>
        <v>8500</v>
      </c>
      <c r="D118" s="1">
        <f t="shared" si="56"/>
        <v>9500</v>
      </c>
      <c r="E118" s="1">
        <f t="shared" si="56"/>
        <v>11500</v>
      </c>
      <c r="F118" s="1">
        <f t="shared" si="56"/>
        <v>13000</v>
      </c>
      <c r="G118" s="1">
        <f t="shared" si="56"/>
        <v>10500</v>
      </c>
      <c r="H118" s="1">
        <f t="shared" si="56"/>
        <v>10000</v>
      </c>
      <c r="I118" s="1">
        <f t="shared" si="56"/>
        <v>11000</v>
      </c>
      <c r="J118" s="1">
        <f t="shared" si="56"/>
        <v>0</v>
      </c>
      <c r="K118" s="1">
        <f t="shared" si="56"/>
        <v>0</v>
      </c>
      <c r="L118" s="1">
        <f t="shared" si="56"/>
        <v>0</v>
      </c>
      <c r="M118" s="1"/>
      <c r="N118" s="1"/>
      <c r="O118" s="1"/>
      <c r="P118" s="1"/>
      <c r="Q118" s="1"/>
      <c r="R118" s="1"/>
      <c r="S118" s="1"/>
    </row>
    <row r="119" spans="1:19" ht="18.75" hidden="1" customHeight="1" x14ac:dyDescent="0.25">
      <c r="A119" s="2"/>
      <c r="B119" s="1" t="s">
        <v>185</v>
      </c>
      <c r="C119" s="1">
        <f t="shared" si="55"/>
        <v>8500</v>
      </c>
      <c r="D119" s="1">
        <f t="shared" si="56"/>
        <v>9500</v>
      </c>
      <c r="E119" s="1">
        <f t="shared" si="56"/>
        <v>11500</v>
      </c>
      <c r="F119" s="1">
        <f t="shared" si="56"/>
        <v>13000</v>
      </c>
      <c r="G119" s="1">
        <f t="shared" si="56"/>
        <v>10500</v>
      </c>
      <c r="H119" s="1">
        <f t="shared" si="56"/>
        <v>10000</v>
      </c>
      <c r="I119" s="1">
        <f t="shared" si="56"/>
        <v>11000</v>
      </c>
      <c r="J119" s="1">
        <f t="shared" si="56"/>
        <v>0</v>
      </c>
      <c r="K119" s="1">
        <f t="shared" si="56"/>
        <v>0</v>
      </c>
      <c r="L119" s="1">
        <f t="shared" si="56"/>
        <v>0</v>
      </c>
      <c r="M119" s="1"/>
      <c r="N119" s="1"/>
      <c r="O119" s="1"/>
      <c r="P119" s="1"/>
      <c r="Q119" s="1"/>
      <c r="R119" s="1"/>
      <c r="S119" s="1"/>
    </row>
    <row r="120" spans="1:19" ht="18.75" hidden="1" customHeight="1" x14ac:dyDescent="0.25">
      <c r="A120" s="2"/>
      <c r="B120" s="1" t="s">
        <v>186</v>
      </c>
      <c r="C120" s="1">
        <f t="shared" si="55"/>
        <v>8500</v>
      </c>
      <c r="D120" s="1">
        <f t="shared" si="56"/>
        <v>9500</v>
      </c>
      <c r="E120" s="1">
        <f t="shared" si="56"/>
        <v>11500</v>
      </c>
      <c r="F120" s="1">
        <f t="shared" si="56"/>
        <v>13000</v>
      </c>
      <c r="G120" s="1">
        <f t="shared" si="56"/>
        <v>10500</v>
      </c>
      <c r="H120" s="1">
        <f t="shared" si="56"/>
        <v>10000</v>
      </c>
      <c r="I120" s="1">
        <f t="shared" si="56"/>
        <v>11000</v>
      </c>
      <c r="J120" s="1">
        <f t="shared" si="56"/>
        <v>0</v>
      </c>
      <c r="K120" s="1">
        <f t="shared" si="56"/>
        <v>0</v>
      </c>
      <c r="L120" s="1">
        <f t="shared" si="56"/>
        <v>0</v>
      </c>
      <c r="M120" s="1"/>
      <c r="N120" s="1"/>
      <c r="O120" s="1"/>
      <c r="P120" s="1"/>
      <c r="Q120" s="1"/>
      <c r="R120" s="1"/>
      <c r="S120" s="1"/>
    </row>
    <row r="121" spans="1:19" ht="18.75" hidden="1" customHeight="1" x14ac:dyDescent="0.25">
      <c r="A121" s="2"/>
      <c r="B121" s="1" t="s">
        <v>187</v>
      </c>
      <c r="C121" s="1">
        <f t="shared" si="55"/>
        <v>8500</v>
      </c>
      <c r="D121" s="1">
        <f t="shared" si="56"/>
        <v>9500</v>
      </c>
      <c r="E121" s="1">
        <f t="shared" si="56"/>
        <v>11500</v>
      </c>
      <c r="F121" s="1">
        <f t="shared" si="56"/>
        <v>13000</v>
      </c>
      <c r="G121" s="1">
        <f t="shared" si="56"/>
        <v>10500</v>
      </c>
      <c r="H121" s="1">
        <f t="shared" si="56"/>
        <v>10000</v>
      </c>
      <c r="I121" s="1">
        <f t="shared" si="56"/>
        <v>11000</v>
      </c>
      <c r="J121" s="1">
        <f t="shared" si="56"/>
        <v>0</v>
      </c>
      <c r="K121" s="1">
        <f t="shared" si="56"/>
        <v>0</v>
      </c>
      <c r="L121" s="1">
        <f t="shared" si="56"/>
        <v>0</v>
      </c>
      <c r="M121" s="1"/>
      <c r="N121" s="1"/>
      <c r="O121" s="1"/>
      <c r="P121" s="1"/>
      <c r="Q121" s="1"/>
      <c r="R121" s="1"/>
      <c r="S121" s="1"/>
    </row>
    <row r="122" spans="1:19" ht="18.75" hidden="1" customHeight="1" x14ac:dyDescent="0.25">
      <c r="A122" s="2"/>
      <c r="B122" s="1" t="s">
        <v>188</v>
      </c>
      <c r="C122" s="1">
        <f t="shared" si="55"/>
        <v>8500</v>
      </c>
      <c r="D122" s="1">
        <f t="shared" si="56"/>
        <v>9500</v>
      </c>
      <c r="E122" s="1">
        <f t="shared" si="56"/>
        <v>11500</v>
      </c>
      <c r="F122" s="1">
        <f t="shared" si="56"/>
        <v>13000</v>
      </c>
      <c r="G122" s="1">
        <f t="shared" si="56"/>
        <v>10500</v>
      </c>
      <c r="H122" s="1">
        <f t="shared" si="56"/>
        <v>10000</v>
      </c>
      <c r="I122" s="1">
        <f t="shared" si="56"/>
        <v>11000</v>
      </c>
      <c r="J122" s="1">
        <f t="shared" si="56"/>
        <v>0</v>
      </c>
      <c r="K122" s="1">
        <f t="shared" si="56"/>
        <v>0</v>
      </c>
      <c r="L122" s="1">
        <f t="shared" si="56"/>
        <v>0</v>
      </c>
      <c r="M122" s="1"/>
      <c r="N122" s="1"/>
      <c r="O122" s="1"/>
      <c r="P122" s="1"/>
      <c r="Q122" s="1"/>
      <c r="R122" s="1"/>
      <c r="S122" s="1"/>
    </row>
    <row r="123" spans="1:19" ht="18.75" hidden="1" customHeight="1" x14ac:dyDescent="0.25">
      <c r="A123" s="2"/>
      <c r="B123" s="1" t="s">
        <v>189</v>
      </c>
      <c r="C123" s="1">
        <f t="shared" si="55"/>
        <v>8500</v>
      </c>
      <c r="D123" s="1">
        <f t="shared" si="56"/>
        <v>9500</v>
      </c>
      <c r="E123" s="1">
        <f t="shared" si="56"/>
        <v>11500</v>
      </c>
      <c r="F123" s="1">
        <f t="shared" si="56"/>
        <v>13000</v>
      </c>
      <c r="G123" s="1">
        <f t="shared" si="56"/>
        <v>10500</v>
      </c>
      <c r="H123" s="1">
        <f t="shared" si="56"/>
        <v>10000</v>
      </c>
      <c r="I123" s="1">
        <f t="shared" si="56"/>
        <v>11000</v>
      </c>
      <c r="J123" s="1">
        <f t="shared" si="56"/>
        <v>0</v>
      </c>
      <c r="K123" s="1">
        <f t="shared" si="56"/>
        <v>0</v>
      </c>
      <c r="L123" s="1">
        <f t="shared" si="56"/>
        <v>0</v>
      </c>
      <c r="M123" s="1"/>
      <c r="N123" s="1"/>
      <c r="O123" s="1"/>
      <c r="P123" s="1"/>
      <c r="Q123" s="1"/>
      <c r="R123" s="1"/>
      <c r="S123" s="1"/>
    </row>
    <row r="124" spans="1:19" ht="18.75" hidden="1" customHeight="1" x14ac:dyDescent="0.25">
      <c r="A124" s="2"/>
      <c r="B124" s="1" t="s">
        <v>190</v>
      </c>
      <c r="C124" s="1">
        <f t="shared" si="55"/>
        <v>8500</v>
      </c>
      <c r="D124" s="1">
        <f t="shared" si="56"/>
        <v>9500</v>
      </c>
      <c r="E124" s="1">
        <f t="shared" si="56"/>
        <v>11500</v>
      </c>
      <c r="F124" s="1">
        <f t="shared" si="56"/>
        <v>13000</v>
      </c>
      <c r="G124" s="1">
        <f t="shared" si="56"/>
        <v>10500</v>
      </c>
      <c r="H124" s="1">
        <f t="shared" si="56"/>
        <v>10000</v>
      </c>
      <c r="I124" s="1">
        <f t="shared" si="56"/>
        <v>11000</v>
      </c>
      <c r="J124" s="1">
        <f t="shared" si="56"/>
        <v>0</v>
      </c>
      <c r="K124" s="1">
        <f t="shared" si="56"/>
        <v>0</v>
      </c>
      <c r="L124" s="1">
        <f t="shared" si="56"/>
        <v>0</v>
      </c>
      <c r="M124" s="1"/>
      <c r="N124" s="1"/>
      <c r="O124" s="1"/>
      <c r="P124" s="1"/>
      <c r="Q124" s="1"/>
      <c r="R124" s="1"/>
      <c r="S124" s="1"/>
    </row>
    <row r="125" spans="1:19" ht="18.75" hidden="1" customHeight="1" x14ac:dyDescent="0.25">
      <c r="A125" s="2"/>
      <c r="B125" s="14" t="s">
        <v>191</v>
      </c>
      <c r="C125" s="14">
        <f t="shared" si="55"/>
        <v>8500</v>
      </c>
      <c r="D125" s="14">
        <f t="shared" si="56"/>
        <v>9500</v>
      </c>
      <c r="E125" s="14">
        <f t="shared" si="56"/>
        <v>11500</v>
      </c>
      <c r="F125" s="14">
        <f t="shared" si="56"/>
        <v>13000</v>
      </c>
      <c r="G125" s="14">
        <f t="shared" si="56"/>
        <v>10500</v>
      </c>
      <c r="H125" s="14">
        <f t="shared" si="56"/>
        <v>10000</v>
      </c>
      <c r="I125" s="14">
        <f t="shared" si="56"/>
        <v>11000</v>
      </c>
      <c r="J125" s="14">
        <f t="shared" si="56"/>
        <v>0</v>
      </c>
      <c r="K125" s="14">
        <f t="shared" si="56"/>
        <v>0</v>
      </c>
      <c r="L125" s="14">
        <f t="shared" si="56"/>
        <v>0</v>
      </c>
      <c r="M125" s="1"/>
      <c r="N125" s="1"/>
      <c r="O125" s="1"/>
      <c r="P125" s="1"/>
      <c r="Q125" s="1"/>
      <c r="R125" s="1"/>
      <c r="S125" s="1"/>
    </row>
    <row r="126" spans="1:19" ht="18.75" hidden="1" customHeight="1" x14ac:dyDescent="0.25">
      <c r="A126" s="2"/>
      <c r="B126" s="1" t="s">
        <v>9</v>
      </c>
      <c r="C126" s="4">
        <f t="shared" si="55"/>
        <v>8500</v>
      </c>
      <c r="D126" s="4">
        <f t="shared" si="56"/>
        <v>9500</v>
      </c>
      <c r="E126" s="4">
        <f t="shared" si="56"/>
        <v>11500</v>
      </c>
      <c r="F126" s="4">
        <f t="shared" si="56"/>
        <v>13000</v>
      </c>
      <c r="G126" s="4">
        <f t="shared" si="56"/>
        <v>10500</v>
      </c>
      <c r="H126" s="4">
        <f t="shared" si="56"/>
        <v>10000</v>
      </c>
      <c r="I126" s="4">
        <f t="shared" si="56"/>
        <v>11000</v>
      </c>
      <c r="J126" s="4">
        <f t="shared" si="56"/>
        <v>0</v>
      </c>
      <c r="K126" s="4">
        <f t="shared" si="56"/>
        <v>0</v>
      </c>
      <c r="L126" s="4">
        <f t="shared" si="56"/>
        <v>0</v>
      </c>
      <c r="M126" s="1"/>
      <c r="N126" s="1"/>
      <c r="O126" s="1"/>
      <c r="P126" s="1"/>
      <c r="Q126" s="1"/>
      <c r="R126" s="1"/>
      <c r="S126" s="1"/>
    </row>
    <row r="127" spans="1:19" ht="18.75" hidden="1" customHeight="1" x14ac:dyDescent="0.25">
      <c r="A127" s="2"/>
      <c r="B127" s="1" t="s">
        <v>8</v>
      </c>
      <c r="C127" s="4">
        <f t="shared" ref="C127:L127" si="57">C$116+NPV($J$2,C117)</f>
        <v>16673.076923076922</v>
      </c>
      <c r="D127" s="4">
        <f t="shared" si="57"/>
        <v>18634.615384615383</v>
      </c>
      <c r="E127" s="4">
        <f t="shared" si="57"/>
        <v>22557.692307692305</v>
      </c>
      <c r="F127" s="4">
        <f t="shared" si="57"/>
        <v>25500</v>
      </c>
      <c r="G127" s="4">
        <f t="shared" si="57"/>
        <v>20596.153846153844</v>
      </c>
      <c r="H127" s="4">
        <f t="shared" si="57"/>
        <v>19615.384615384617</v>
      </c>
      <c r="I127" s="4">
        <f t="shared" si="57"/>
        <v>21576.923076923078</v>
      </c>
      <c r="J127" s="4">
        <f t="shared" si="57"/>
        <v>0</v>
      </c>
      <c r="K127" s="4">
        <f t="shared" si="57"/>
        <v>0</v>
      </c>
      <c r="L127" s="4">
        <f t="shared" si="57"/>
        <v>0</v>
      </c>
      <c r="M127" s="1"/>
      <c r="N127" s="1"/>
      <c r="O127" s="1"/>
      <c r="P127" s="1"/>
      <c r="Q127" s="1"/>
      <c r="R127" s="1"/>
      <c r="S127" s="1"/>
    </row>
    <row r="128" spans="1:19" ht="18.75" hidden="1" customHeight="1" x14ac:dyDescent="0.25">
      <c r="A128" s="2"/>
      <c r="B128" s="1" t="s">
        <v>7</v>
      </c>
      <c r="C128" s="4">
        <f t="shared" ref="C128:L128" si="58">C$116+NPV($J$2,C117:C118)</f>
        <v>24531.804733727811</v>
      </c>
      <c r="D128" s="4">
        <f t="shared" si="58"/>
        <v>27417.899408284022</v>
      </c>
      <c r="E128" s="4">
        <f t="shared" si="58"/>
        <v>33190.088757396443</v>
      </c>
      <c r="F128" s="4">
        <f t="shared" si="58"/>
        <v>37519.230769230766</v>
      </c>
      <c r="G128" s="4">
        <f t="shared" si="58"/>
        <v>30303.994082840232</v>
      </c>
      <c r="H128" s="4">
        <f t="shared" si="58"/>
        <v>28860.946745562131</v>
      </c>
      <c r="I128" s="4">
        <f t="shared" si="58"/>
        <v>31747.041420118345</v>
      </c>
      <c r="J128" s="4">
        <f t="shared" si="58"/>
        <v>0</v>
      </c>
      <c r="K128" s="4">
        <f t="shared" si="58"/>
        <v>0</v>
      </c>
      <c r="L128" s="4">
        <f t="shared" si="58"/>
        <v>0</v>
      </c>
      <c r="M128" s="1"/>
      <c r="N128" s="1"/>
      <c r="O128" s="1"/>
      <c r="P128" s="1"/>
      <c r="Q128" s="1"/>
      <c r="R128" s="1"/>
      <c r="S128" s="1"/>
    </row>
    <row r="129" spans="1:19" ht="18.75" hidden="1" customHeight="1" x14ac:dyDescent="0.25">
      <c r="A129" s="2"/>
      <c r="B129" s="1" t="s">
        <v>6</v>
      </c>
      <c r="C129" s="4">
        <f t="shared" ref="C129:L129" si="59">C$116+NPV($J$2,C117:C119)</f>
        <v>32088.273782430584</v>
      </c>
      <c r="D129" s="4">
        <f t="shared" si="59"/>
        <v>35863.364815657711</v>
      </c>
      <c r="E129" s="4">
        <f t="shared" si="59"/>
        <v>43413.546882111965</v>
      </c>
      <c r="F129" s="4">
        <f t="shared" si="59"/>
        <v>49076.183431952661</v>
      </c>
      <c r="G129" s="4">
        <f t="shared" si="59"/>
        <v>39638.455848884842</v>
      </c>
      <c r="H129" s="4">
        <f t="shared" si="59"/>
        <v>37750.910332271276</v>
      </c>
      <c r="I129" s="4">
        <f t="shared" si="59"/>
        <v>41526.001365498407</v>
      </c>
      <c r="J129" s="4">
        <f t="shared" si="59"/>
        <v>0</v>
      </c>
      <c r="K129" s="4">
        <f t="shared" si="59"/>
        <v>0</v>
      </c>
      <c r="L129" s="4">
        <f t="shared" si="59"/>
        <v>0</v>
      </c>
      <c r="M129" s="1"/>
      <c r="N129" s="1"/>
      <c r="O129" s="1"/>
      <c r="P129" s="1"/>
      <c r="Q129" s="1"/>
      <c r="R129" s="1"/>
      <c r="S129" s="1"/>
    </row>
    <row r="130" spans="1:19" ht="18.75" hidden="1" customHeight="1" x14ac:dyDescent="0.25">
      <c r="A130" s="2"/>
      <c r="B130" s="1" t="s">
        <v>5</v>
      </c>
      <c r="C130" s="4">
        <f t="shared" ref="C130:L130" si="60">C$116+NPV($J$2,C117:C120)</f>
        <v>39354.109406183255</v>
      </c>
      <c r="D130" s="4">
        <f t="shared" si="60"/>
        <v>43984.004630440104</v>
      </c>
      <c r="E130" s="4">
        <f t="shared" si="60"/>
        <v>53243.795078953808</v>
      </c>
      <c r="F130" s="4">
        <f t="shared" si="60"/>
        <v>60188.637915339095</v>
      </c>
      <c r="G130" s="4">
        <f t="shared" si="60"/>
        <v>48613.89985469696</v>
      </c>
      <c r="H130" s="4">
        <f t="shared" si="60"/>
        <v>46298.952242568535</v>
      </c>
      <c r="I130" s="4">
        <f t="shared" si="60"/>
        <v>50928.847466825391</v>
      </c>
      <c r="J130" s="4">
        <f t="shared" si="60"/>
        <v>0</v>
      </c>
      <c r="K130" s="4">
        <f t="shared" si="60"/>
        <v>0</v>
      </c>
      <c r="L130" s="4">
        <f t="shared" si="60"/>
        <v>0</v>
      </c>
      <c r="M130" s="1"/>
      <c r="N130" s="1"/>
      <c r="O130" s="1"/>
      <c r="P130" s="1"/>
      <c r="Q130" s="1"/>
      <c r="R130" s="1"/>
      <c r="S130" s="1"/>
    </row>
    <row r="131" spans="1:19" ht="18.75" hidden="1" customHeight="1" x14ac:dyDescent="0.25">
      <c r="A131" s="2"/>
      <c r="B131" s="1" t="s">
        <v>4</v>
      </c>
      <c r="C131" s="4">
        <f t="shared" ref="C131:L131" si="61">C$116+NPV($J$2,C117:C121)</f>
        <v>46340.489813637745</v>
      </c>
      <c r="D131" s="4">
        <f t="shared" si="61"/>
        <v>51792.312144653944</v>
      </c>
      <c r="E131" s="4">
        <f t="shared" si="61"/>
        <v>62695.95680668635</v>
      </c>
      <c r="F131" s="4">
        <f t="shared" si="61"/>
        <v>70873.690303210664</v>
      </c>
      <c r="G131" s="4">
        <f t="shared" si="61"/>
        <v>57244.134475670151</v>
      </c>
      <c r="H131" s="4">
        <f t="shared" si="61"/>
        <v>54518.223310162051</v>
      </c>
      <c r="I131" s="4">
        <f t="shared" si="61"/>
        <v>59970.045641178258</v>
      </c>
      <c r="J131" s="4">
        <f t="shared" si="61"/>
        <v>0</v>
      </c>
      <c r="K131" s="4">
        <f t="shared" si="61"/>
        <v>0</v>
      </c>
      <c r="L131" s="4">
        <f t="shared" si="61"/>
        <v>0</v>
      </c>
      <c r="M131" s="1"/>
      <c r="N131" s="1"/>
      <c r="O131" s="1"/>
      <c r="P131" s="1"/>
      <c r="Q131" s="1"/>
      <c r="R131" s="1"/>
      <c r="S131" s="1"/>
    </row>
    <row r="132" spans="1:19" ht="18.75" hidden="1" customHeight="1" x14ac:dyDescent="0.25">
      <c r="A132" s="2"/>
      <c r="B132" s="1" t="s">
        <v>3</v>
      </c>
      <c r="C132" s="4">
        <f t="shared" ref="C132:L132" si="62">C$116+NPV($J$2,C117:C122)</f>
        <v>53058.163282343987</v>
      </c>
      <c r="D132" s="4">
        <f t="shared" si="62"/>
        <v>59300.30013909033</v>
      </c>
      <c r="E132" s="4">
        <f t="shared" si="62"/>
        <v>71784.573852583024</v>
      </c>
      <c r="F132" s="4">
        <f t="shared" si="62"/>
        <v>81147.779137702557</v>
      </c>
      <c r="G132" s="4">
        <f t="shared" si="62"/>
        <v>65542.436995836673</v>
      </c>
      <c r="H132" s="4">
        <f t="shared" si="62"/>
        <v>62421.368567463513</v>
      </c>
      <c r="I132" s="4">
        <f t="shared" si="62"/>
        <v>68663.50542420987</v>
      </c>
      <c r="J132" s="4">
        <f t="shared" si="62"/>
        <v>0</v>
      </c>
      <c r="K132" s="4">
        <f t="shared" si="62"/>
        <v>0</v>
      </c>
      <c r="L132" s="4">
        <f t="shared" si="62"/>
        <v>0</v>
      </c>
      <c r="M132" s="1"/>
      <c r="N132" s="1"/>
      <c r="O132" s="1"/>
      <c r="P132" s="1"/>
      <c r="Q132" s="1"/>
      <c r="R132" s="1"/>
      <c r="S132" s="1"/>
    </row>
    <row r="133" spans="1:19" ht="18.75" hidden="1" customHeight="1" x14ac:dyDescent="0.25">
      <c r="A133" s="2"/>
      <c r="B133" s="1" t="s">
        <v>2</v>
      </c>
      <c r="C133" s="4">
        <f t="shared" ref="C133:L133" si="63">C$116+NPV($J$2,C117:C123)</f>
        <v>59517.464694561524</v>
      </c>
      <c r="D133" s="4">
        <f t="shared" si="63"/>
        <v>66519.519364509935</v>
      </c>
      <c r="E133" s="4">
        <f t="shared" si="63"/>
        <v>80523.628704406758</v>
      </c>
      <c r="F133" s="4">
        <f t="shared" si="63"/>
        <v>91026.710709329374</v>
      </c>
      <c r="G133" s="4">
        <f t="shared" si="63"/>
        <v>73521.574034458346</v>
      </c>
      <c r="H133" s="4">
        <f t="shared" si="63"/>
        <v>70020.546699484141</v>
      </c>
      <c r="I133" s="4">
        <f t="shared" si="63"/>
        <v>77022.601369432552</v>
      </c>
      <c r="J133" s="4">
        <f t="shared" si="63"/>
        <v>0</v>
      </c>
      <c r="K133" s="4">
        <f t="shared" si="63"/>
        <v>0</v>
      </c>
      <c r="L133" s="4">
        <f t="shared" si="63"/>
        <v>0</v>
      </c>
      <c r="M133" s="1"/>
      <c r="N133" s="1"/>
      <c r="O133" s="1"/>
      <c r="P133" s="1"/>
      <c r="Q133" s="1"/>
      <c r="R133" s="1"/>
      <c r="S133" s="1"/>
    </row>
    <row r="134" spans="1:19" ht="18.75" hidden="1" customHeight="1" x14ac:dyDescent="0.25">
      <c r="A134" s="2"/>
      <c r="B134" s="1" t="s">
        <v>1</v>
      </c>
      <c r="C134" s="4">
        <f t="shared" ref="C134:L134" si="64">C$116+NPV($J$2,C117:C124)</f>
        <v>65728.331437078392</v>
      </c>
      <c r="D134" s="4">
        <f t="shared" si="64"/>
        <v>73461.076312028774</v>
      </c>
      <c r="E134" s="4">
        <f t="shared" si="64"/>
        <v>88926.566061929567</v>
      </c>
      <c r="F134" s="4">
        <f t="shared" si="64"/>
        <v>100525.68337435517</v>
      </c>
      <c r="G134" s="4">
        <f t="shared" si="64"/>
        <v>81193.821186979156</v>
      </c>
      <c r="H134" s="4">
        <f t="shared" si="64"/>
        <v>77327.448749503979</v>
      </c>
      <c r="I134" s="4">
        <f t="shared" si="64"/>
        <v>85060.193624454376</v>
      </c>
      <c r="J134" s="4">
        <f t="shared" si="64"/>
        <v>0</v>
      </c>
      <c r="K134" s="4">
        <f t="shared" si="64"/>
        <v>0</v>
      </c>
      <c r="L134" s="4">
        <f t="shared" si="64"/>
        <v>0</v>
      </c>
      <c r="M134" s="1"/>
      <c r="N134" s="1"/>
      <c r="O134" s="1"/>
      <c r="P134" s="1"/>
      <c r="Q134" s="1"/>
      <c r="R134" s="1"/>
      <c r="S134" s="1"/>
    </row>
    <row r="135" spans="1:19" ht="18.75" hidden="1" customHeight="1" x14ac:dyDescent="0.25">
      <c r="A135" s="2"/>
      <c r="B135" s="1" t="s">
        <v>0</v>
      </c>
      <c r="C135" s="4">
        <f t="shared" ref="C135:L135" si="65">C$116+NPV($J$2,C117:C125)</f>
        <v>71700.318689498454</v>
      </c>
      <c r="D135" s="4">
        <f t="shared" si="65"/>
        <v>80135.650300027672</v>
      </c>
      <c r="E135" s="4">
        <f t="shared" si="65"/>
        <v>97006.313521086122</v>
      </c>
      <c r="F135" s="4">
        <f t="shared" si="65"/>
        <v>109659.31093687996</v>
      </c>
      <c r="G135" s="4">
        <f t="shared" si="65"/>
        <v>88570.981910556875</v>
      </c>
      <c r="H135" s="4">
        <f t="shared" si="65"/>
        <v>84353.316105292281</v>
      </c>
      <c r="I135" s="4">
        <f t="shared" si="65"/>
        <v>92788.647715821513</v>
      </c>
      <c r="J135" s="4">
        <f t="shared" si="65"/>
        <v>0</v>
      </c>
      <c r="K135" s="4">
        <f t="shared" si="65"/>
        <v>0</v>
      </c>
      <c r="L135" s="4">
        <f t="shared" si="65"/>
        <v>0</v>
      </c>
      <c r="M135" s="1"/>
      <c r="N135" s="1"/>
      <c r="O135" s="1"/>
      <c r="P135" s="1"/>
      <c r="Q135" s="1"/>
      <c r="R135" s="1"/>
      <c r="S135" s="1"/>
    </row>
    <row r="136" spans="1:19" ht="18.75" hidden="1" customHeight="1" x14ac:dyDescent="0.25">
      <c r="A136" s="2"/>
      <c r="B136" s="89" t="s">
        <v>271</v>
      </c>
      <c r="C136" s="89">
        <f>IF(C$16-C$17-C$34&lt;0,0,C$16-C$17-C$34)</f>
        <v>227992</v>
      </c>
      <c r="D136" s="89">
        <f t="shared" ref="D136:L136" si="66">IF(D$16-D$17-D$34&lt;0,0,D$16-D$17-D$34)</f>
        <v>219120</v>
      </c>
      <c r="E136" s="89">
        <f t="shared" si="66"/>
        <v>230720</v>
      </c>
      <c r="F136" s="89">
        <f t="shared" si="66"/>
        <v>387200</v>
      </c>
      <c r="G136" s="89">
        <f t="shared" si="66"/>
        <v>343200</v>
      </c>
      <c r="H136" s="89">
        <f t="shared" si="66"/>
        <v>325520</v>
      </c>
      <c r="I136" s="89">
        <f t="shared" si="66"/>
        <v>211760</v>
      </c>
      <c r="J136" s="89">
        <f t="shared" si="66"/>
        <v>0</v>
      </c>
      <c r="K136" s="89">
        <f t="shared" si="66"/>
        <v>0</v>
      </c>
      <c r="L136" s="89">
        <f t="shared" si="66"/>
        <v>0</v>
      </c>
      <c r="M136" s="1"/>
      <c r="N136" s="1"/>
      <c r="O136" s="1"/>
      <c r="P136" s="1"/>
      <c r="Q136" s="1"/>
      <c r="R136" s="1"/>
      <c r="S136" s="1"/>
    </row>
    <row r="137" spans="1:19" ht="18.75" hidden="1" customHeight="1" x14ac:dyDescent="0.25">
      <c r="A137" s="2">
        <v>0</v>
      </c>
      <c r="B137" s="1" t="s">
        <v>261</v>
      </c>
      <c r="C137" s="1">
        <v>0</v>
      </c>
      <c r="D137" s="1">
        <v>0</v>
      </c>
      <c r="E137" s="1">
        <v>0</v>
      </c>
      <c r="F137" s="1">
        <v>0</v>
      </c>
      <c r="G137" s="1">
        <v>0</v>
      </c>
      <c r="H137" s="1">
        <v>0</v>
      </c>
      <c r="I137" s="1">
        <v>0</v>
      </c>
      <c r="J137" s="1">
        <v>0</v>
      </c>
      <c r="K137" s="1">
        <v>0</v>
      </c>
      <c r="L137" s="1">
        <v>0</v>
      </c>
      <c r="M137" s="1">
        <v>0</v>
      </c>
      <c r="N137" s="1"/>
      <c r="O137" s="1"/>
      <c r="P137" s="1"/>
      <c r="Q137" s="1"/>
      <c r="R137" s="1"/>
      <c r="S137" s="1"/>
    </row>
    <row r="138" spans="1:19" ht="18.75" hidden="1" customHeight="1" x14ac:dyDescent="0.25">
      <c r="A138" s="2">
        <v>1</v>
      </c>
      <c r="B138" s="1" t="s">
        <v>262</v>
      </c>
      <c r="C138" s="90">
        <f t="shared" ref="C138:L146" si="67">C$136/$C$4*$A138</f>
        <v>75997.333333333328</v>
      </c>
      <c r="D138" s="90">
        <f t="shared" si="67"/>
        <v>73040</v>
      </c>
      <c r="E138" s="90">
        <f t="shared" si="67"/>
        <v>76906.666666666672</v>
      </c>
      <c r="F138" s="90">
        <f t="shared" si="67"/>
        <v>129066.66666666667</v>
      </c>
      <c r="G138" s="90">
        <f t="shared" si="67"/>
        <v>114400</v>
      </c>
      <c r="H138" s="90">
        <f t="shared" si="67"/>
        <v>108506.66666666667</v>
      </c>
      <c r="I138" s="90">
        <f t="shared" si="67"/>
        <v>70586.666666666672</v>
      </c>
      <c r="J138" s="90">
        <f t="shared" si="67"/>
        <v>0</v>
      </c>
      <c r="K138" s="90">
        <f t="shared" si="67"/>
        <v>0</v>
      </c>
      <c r="L138" s="90">
        <f t="shared" si="67"/>
        <v>0</v>
      </c>
      <c r="M138" s="1"/>
      <c r="N138" s="1"/>
      <c r="O138" s="1"/>
      <c r="P138" s="1"/>
      <c r="Q138" s="1"/>
      <c r="R138" s="1"/>
      <c r="S138" s="1"/>
    </row>
    <row r="139" spans="1:19" ht="18.75" hidden="1" customHeight="1" x14ac:dyDescent="0.25">
      <c r="A139" s="2">
        <v>2</v>
      </c>
      <c r="B139" s="1" t="s">
        <v>263</v>
      </c>
      <c r="C139" s="90">
        <f t="shared" si="67"/>
        <v>151994.66666666666</v>
      </c>
      <c r="D139" s="90">
        <f t="shared" si="67"/>
        <v>146080</v>
      </c>
      <c r="E139" s="90">
        <f t="shared" si="67"/>
        <v>153813.33333333334</v>
      </c>
      <c r="F139" s="90">
        <f t="shared" si="67"/>
        <v>258133.33333333334</v>
      </c>
      <c r="G139" s="90">
        <f t="shared" si="67"/>
        <v>228800</v>
      </c>
      <c r="H139" s="90">
        <f t="shared" si="67"/>
        <v>217013.33333333334</v>
      </c>
      <c r="I139" s="90">
        <f t="shared" si="67"/>
        <v>141173.33333333334</v>
      </c>
      <c r="J139" s="90">
        <f t="shared" si="67"/>
        <v>0</v>
      </c>
      <c r="K139" s="90">
        <f t="shared" si="67"/>
        <v>0</v>
      </c>
      <c r="L139" s="90">
        <f t="shared" si="67"/>
        <v>0</v>
      </c>
      <c r="M139" s="1"/>
      <c r="N139" s="1"/>
      <c r="O139" s="1"/>
      <c r="P139" s="1"/>
      <c r="Q139" s="1"/>
      <c r="R139" s="1"/>
      <c r="S139" s="1"/>
    </row>
    <row r="140" spans="1:19" ht="18.75" hidden="1" customHeight="1" x14ac:dyDescent="0.25">
      <c r="A140" s="2">
        <v>3</v>
      </c>
      <c r="B140" s="1" t="s">
        <v>264</v>
      </c>
      <c r="C140" s="90">
        <f t="shared" si="67"/>
        <v>227992</v>
      </c>
      <c r="D140" s="90">
        <f t="shared" si="67"/>
        <v>219120</v>
      </c>
      <c r="E140" s="90">
        <f t="shared" si="67"/>
        <v>230720</v>
      </c>
      <c r="F140" s="90">
        <f t="shared" si="67"/>
        <v>387200</v>
      </c>
      <c r="G140" s="90">
        <f t="shared" si="67"/>
        <v>343200</v>
      </c>
      <c r="H140" s="90">
        <f t="shared" si="67"/>
        <v>325520</v>
      </c>
      <c r="I140" s="90">
        <f t="shared" si="67"/>
        <v>211760</v>
      </c>
      <c r="J140" s="90">
        <f t="shared" si="67"/>
        <v>0</v>
      </c>
      <c r="K140" s="90">
        <f t="shared" si="67"/>
        <v>0</v>
      </c>
      <c r="L140" s="90">
        <f t="shared" si="67"/>
        <v>0</v>
      </c>
      <c r="M140" s="1"/>
      <c r="N140" s="1"/>
      <c r="O140" s="1"/>
      <c r="P140" s="1"/>
      <c r="Q140" s="1"/>
      <c r="R140" s="1"/>
      <c r="S140" s="1"/>
    </row>
    <row r="141" spans="1:19" ht="18.75" hidden="1" customHeight="1" x14ac:dyDescent="0.25">
      <c r="A141" s="2">
        <v>4</v>
      </c>
      <c r="B141" s="1" t="s">
        <v>265</v>
      </c>
      <c r="C141" s="90">
        <f t="shared" si="67"/>
        <v>303989.33333333331</v>
      </c>
      <c r="D141" s="90">
        <f t="shared" si="67"/>
        <v>292160</v>
      </c>
      <c r="E141" s="90">
        <f t="shared" si="67"/>
        <v>307626.66666666669</v>
      </c>
      <c r="F141" s="90">
        <f t="shared" si="67"/>
        <v>516266.66666666669</v>
      </c>
      <c r="G141" s="90">
        <f t="shared" si="67"/>
        <v>457600</v>
      </c>
      <c r="H141" s="90">
        <f t="shared" si="67"/>
        <v>434026.66666666669</v>
      </c>
      <c r="I141" s="90">
        <f t="shared" si="67"/>
        <v>282346.66666666669</v>
      </c>
      <c r="J141" s="90">
        <f t="shared" si="67"/>
        <v>0</v>
      </c>
      <c r="K141" s="90">
        <f t="shared" si="67"/>
        <v>0</v>
      </c>
      <c r="L141" s="90">
        <f t="shared" si="67"/>
        <v>0</v>
      </c>
      <c r="M141" s="1"/>
      <c r="N141" s="1"/>
      <c r="O141" s="1"/>
      <c r="P141" s="1"/>
      <c r="Q141" s="1"/>
      <c r="R141" s="1"/>
      <c r="S141" s="1"/>
    </row>
    <row r="142" spans="1:19" ht="18.75" hidden="1" customHeight="1" x14ac:dyDescent="0.25">
      <c r="A142" s="2">
        <v>5</v>
      </c>
      <c r="B142" s="1" t="s">
        <v>266</v>
      </c>
      <c r="C142" s="90">
        <f t="shared" si="67"/>
        <v>379986.66666666663</v>
      </c>
      <c r="D142" s="90">
        <f t="shared" si="67"/>
        <v>365200</v>
      </c>
      <c r="E142" s="90">
        <f t="shared" si="67"/>
        <v>384533.33333333337</v>
      </c>
      <c r="F142" s="90">
        <f t="shared" si="67"/>
        <v>645333.33333333337</v>
      </c>
      <c r="G142" s="90">
        <f t="shared" si="67"/>
        <v>572000</v>
      </c>
      <c r="H142" s="90">
        <f t="shared" si="67"/>
        <v>542533.33333333337</v>
      </c>
      <c r="I142" s="90">
        <f t="shared" si="67"/>
        <v>352933.33333333337</v>
      </c>
      <c r="J142" s="90">
        <f t="shared" si="67"/>
        <v>0</v>
      </c>
      <c r="K142" s="90">
        <f t="shared" si="67"/>
        <v>0</v>
      </c>
      <c r="L142" s="90">
        <f t="shared" si="67"/>
        <v>0</v>
      </c>
      <c r="M142" s="1"/>
      <c r="N142" s="1"/>
      <c r="O142" s="1"/>
      <c r="P142" s="1"/>
      <c r="Q142" s="1"/>
      <c r="R142" s="1"/>
      <c r="S142" s="1"/>
    </row>
    <row r="143" spans="1:19" ht="18.75" hidden="1" customHeight="1" x14ac:dyDescent="0.25">
      <c r="A143" s="2">
        <v>6</v>
      </c>
      <c r="B143" s="1" t="s">
        <v>267</v>
      </c>
      <c r="C143" s="90">
        <f t="shared" si="67"/>
        <v>455984</v>
      </c>
      <c r="D143" s="90">
        <f t="shared" si="67"/>
        <v>438240</v>
      </c>
      <c r="E143" s="90">
        <f t="shared" si="67"/>
        <v>461440</v>
      </c>
      <c r="F143" s="90">
        <f t="shared" si="67"/>
        <v>774400</v>
      </c>
      <c r="G143" s="90">
        <f t="shared" si="67"/>
        <v>686400</v>
      </c>
      <c r="H143" s="90">
        <f t="shared" si="67"/>
        <v>651040</v>
      </c>
      <c r="I143" s="90">
        <f t="shared" si="67"/>
        <v>423520</v>
      </c>
      <c r="J143" s="90">
        <f t="shared" si="67"/>
        <v>0</v>
      </c>
      <c r="K143" s="90">
        <f t="shared" si="67"/>
        <v>0</v>
      </c>
      <c r="L143" s="90">
        <f t="shared" si="67"/>
        <v>0</v>
      </c>
      <c r="M143" s="1"/>
      <c r="N143" s="1"/>
      <c r="O143" s="1"/>
      <c r="P143" s="1"/>
      <c r="Q143" s="1"/>
      <c r="R143" s="1"/>
      <c r="S143" s="1"/>
    </row>
    <row r="144" spans="1:19" ht="18.75" hidden="1" customHeight="1" x14ac:dyDescent="0.25">
      <c r="A144" s="2">
        <v>7</v>
      </c>
      <c r="B144" s="1" t="s">
        <v>268</v>
      </c>
      <c r="C144" s="90">
        <f t="shared" si="67"/>
        <v>531981.33333333326</v>
      </c>
      <c r="D144" s="90">
        <f t="shared" si="67"/>
        <v>511280</v>
      </c>
      <c r="E144" s="90">
        <f t="shared" si="67"/>
        <v>538346.66666666674</v>
      </c>
      <c r="F144" s="90">
        <f t="shared" si="67"/>
        <v>903466.66666666674</v>
      </c>
      <c r="G144" s="90">
        <f t="shared" si="67"/>
        <v>800800</v>
      </c>
      <c r="H144" s="90">
        <f t="shared" si="67"/>
        <v>759546.66666666674</v>
      </c>
      <c r="I144" s="90">
        <f t="shared" si="67"/>
        <v>494106.66666666669</v>
      </c>
      <c r="J144" s="90">
        <f t="shared" si="67"/>
        <v>0</v>
      </c>
      <c r="K144" s="90">
        <f t="shared" si="67"/>
        <v>0</v>
      </c>
      <c r="L144" s="90">
        <f t="shared" si="67"/>
        <v>0</v>
      </c>
      <c r="M144" s="1"/>
      <c r="N144" s="1"/>
      <c r="O144" s="1"/>
      <c r="P144" s="1"/>
      <c r="Q144" s="1"/>
      <c r="R144" s="1"/>
      <c r="S144" s="1"/>
    </row>
    <row r="145" spans="1:19" ht="18.75" hidden="1" customHeight="1" x14ac:dyDescent="0.25">
      <c r="A145" s="2">
        <v>8</v>
      </c>
      <c r="B145" s="1" t="s">
        <v>269</v>
      </c>
      <c r="C145" s="90">
        <f t="shared" si="67"/>
        <v>607978.66666666663</v>
      </c>
      <c r="D145" s="90">
        <f t="shared" si="67"/>
        <v>584320</v>
      </c>
      <c r="E145" s="90">
        <f t="shared" si="67"/>
        <v>615253.33333333337</v>
      </c>
      <c r="F145" s="90">
        <f t="shared" si="67"/>
        <v>1032533.3333333334</v>
      </c>
      <c r="G145" s="90">
        <f t="shared" si="67"/>
        <v>915200</v>
      </c>
      <c r="H145" s="90">
        <f t="shared" si="67"/>
        <v>868053.33333333337</v>
      </c>
      <c r="I145" s="90">
        <f t="shared" si="67"/>
        <v>564693.33333333337</v>
      </c>
      <c r="J145" s="90">
        <f t="shared" si="67"/>
        <v>0</v>
      </c>
      <c r="K145" s="90">
        <f t="shared" si="67"/>
        <v>0</v>
      </c>
      <c r="L145" s="90">
        <f t="shared" si="67"/>
        <v>0</v>
      </c>
      <c r="M145" s="1"/>
      <c r="N145" s="1"/>
      <c r="O145" s="1"/>
      <c r="P145" s="1"/>
      <c r="Q145" s="1"/>
      <c r="R145" s="1"/>
      <c r="S145" s="1"/>
    </row>
    <row r="146" spans="1:19" ht="18.75" hidden="1" customHeight="1" x14ac:dyDescent="0.25">
      <c r="A146" s="2">
        <v>9</v>
      </c>
      <c r="B146" s="14" t="s">
        <v>270</v>
      </c>
      <c r="C146" s="91">
        <f t="shared" si="67"/>
        <v>683976</v>
      </c>
      <c r="D146" s="91">
        <f t="shared" si="67"/>
        <v>657360</v>
      </c>
      <c r="E146" s="91">
        <f t="shared" si="67"/>
        <v>692160</v>
      </c>
      <c r="F146" s="91">
        <f t="shared" si="67"/>
        <v>1161600</v>
      </c>
      <c r="G146" s="91">
        <f t="shared" si="67"/>
        <v>1029600</v>
      </c>
      <c r="H146" s="91">
        <f t="shared" si="67"/>
        <v>976560</v>
      </c>
      <c r="I146" s="91">
        <f t="shared" si="67"/>
        <v>635280</v>
      </c>
      <c r="J146" s="91">
        <f t="shared" si="67"/>
        <v>0</v>
      </c>
      <c r="K146" s="91">
        <f t="shared" si="67"/>
        <v>0</v>
      </c>
      <c r="L146" s="91">
        <f t="shared" si="67"/>
        <v>0</v>
      </c>
      <c r="M146" s="1"/>
      <c r="N146" s="1"/>
      <c r="O146" s="1"/>
      <c r="P146" s="1"/>
      <c r="Q146" s="1"/>
      <c r="R146" s="1"/>
      <c r="S146" s="1"/>
    </row>
    <row r="147" spans="1:19" ht="18.75" hidden="1" customHeight="1" x14ac:dyDescent="0.25">
      <c r="A147" s="2">
        <v>0</v>
      </c>
      <c r="B147" s="1" t="s">
        <v>251</v>
      </c>
      <c r="C147" s="90">
        <f>IF(C$136&gt;C137,(C$136-C137)*IF(C$14&lt;$N$26,$J$4,$J$3)/(1+$J$2)^$A147,0)</f>
        <v>6839.7599999999993</v>
      </c>
      <c r="D147" s="90">
        <f t="shared" ref="D147:L147" si="68">IF(D$136&gt;D137,(D$136-D137)*IF(D$14&lt;$N$26,$J$4,$J$3)/(1+$J$2)^$A147,0)</f>
        <v>8764.8000000000011</v>
      </c>
      <c r="E147" s="90">
        <f t="shared" si="68"/>
        <v>9228.8000000000011</v>
      </c>
      <c r="F147" s="90">
        <f t="shared" si="68"/>
        <v>11616</v>
      </c>
      <c r="G147" s="90">
        <f t="shared" si="68"/>
        <v>13728</v>
      </c>
      <c r="H147" s="90">
        <f t="shared" si="68"/>
        <v>9765.6</v>
      </c>
      <c r="I147" s="90">
        <f t="shared" si="68"/>
        <v>8470.4</v>
      </c>
      <c r="J147" s="90">
        <f t="shared" si="68"/>
        <v>0</v>
      </c>
      <c r="K147" s="90">
        <f t="shared" si="68"/>
        <v>0</v>
      </c>
      <c r="L147" s="90">
        <f t="shared" si="68"/>
        <v>0</v>
      </c>
      <c r="M147" s="1"/>
      <c r="N147" s="1"/>
      <c r="O147" s="1"/>
      <c r="P147" s="1"/>
      <c r="Q147" s="1"/>
      <c r="R147" s="1"/>
      <c r="S147" s="1"/>
    </row>
    <row r="148" spans="1:19" ht="18.75" hidden="1" customHeight="1" x14ac:dyDescent="0.25">
      <c r="A148" s="2">
        <v>1</v>
      </c>
      <c r="B148" s="1" t="s">
        <v>252</v>
      </c>
      <c r="C148" s="90">
        <f t="shared" ref="C148:L148" si="69">IF(C$136&gt;C138,(C$136-C138)*IF(C$14&lt;$N$26,$J$4,$J$3)/(1+$J$2)^$A148,0)</f>
        <v>4384.4615384615381</v>
      </c>
      <c r="D148" s="90">
        <f t="shared" si="69"/>
        <v>5618.4615384615381</v>
      </c>
      <c r="E148" s="90">
        <f t="shared" si="69"/>
        <v>5915.8974358974356</v>
      </c>
      <c r="F148" s="90">
        <f t="shared" si="69"/>
        <v>7446.1538461538448</v>
      </c>
      <c r="G148" s="90">
        <f t="shared" si="69"/>
        <v>8800</v>
      </c>
      <c r="H148" s="90">
        <f t="shared" si="69"/>
        <v>6259.9999999999982</v>
      </c>
      <c r="I148" s="90">
        <f t="shared" si="69"/>
        <v>5429.7435897435889</v>
      </c>
      <c r="J148" s="90">
        <f t="shared" si="69"/>
        <v>0</v>
      </c>
      <c r="K148" s="90">
        <f t="shared" si="69"/>
        <v>0</v>
      </c>
      <c r="L148" s="90">
        <f t="shared" si="69"/>
        <v>0</v>
      </c>
      <c r="M148" s="1"/>
      <c r="N148" s="1"/>
      <c r="O148" s="1"/>
      <c r="P148" s="1"/>
      <c r="Q148" s="1"/>
      <c r="R148" s="1"/>
      <c r="S148" s="1"/>
    </row>
    <row r="149" spans="1:19" ht="18.75" hidden="1" customHeight="1" x14ac:dyDescent="0.25">
      <c r="A149" s="2">
        <v>2</v>
      </c>
      <c r="B149" s="1" t="s">
        <v>253</v>
      </c>
      <c r="C149" s="90">
        <f t="shared" ref="C149:L149" si="70">IF(C$136&gt;C139,(C$136-C139)*IF(C$14&lt;$N$26,$J$4,$J$3)/(1+$J$2)^$A149,0)</f>
        <v>2107.9142011834319</v>
      </c>
      <c r="D149" s="90">
        <f t="shared" si="70"/>
        <v>2701.1834319526624</v>
      </c>
      <c r="E149" s="90">
        <f t="shared" si="70"/>
        <v>2844.1814595660744</v>
      </c>
      <c r="F149" s="90">
        <f t="shared" si="70"/>
        <v>3579.8816568047328</v>
      </c>
      <c r="G149" s="90">
        <f t="shared" si="70"/>
        <v>4230.7692307692305</v>
      </c>
      <c r="H149" s="90">
        <f t="shared" si="70"/>
        <v>3009.6153846153838</v>
      </c>
      <c r="I149" s="90">
        <f t="shared" si="70"/>
        <v>2610.4536489151865</v>
      </c>
      <c r="J149" s="90">
        <f t="shared" si="70"/>
        <v>0</v>
      </c>
      <c r="K149" s="90">
        <f t="shared" si="70"/>
        <v>0</v>
      </c>
      <c r="L149" s="90">
        <f t="shared" si="70"/>
        <v>0</v>
      </c>
      <c r="M149" s="1"/>
      <c r="N149" s="1"/>
      <c r="O149" s="1"/>
      <c r="P149" s="1"/>
      <c r="Q149" s="1"/>
      <c r="R149" s="1"/>
      <c r="S149" s="1"/>
    </row>
    <row r="150" spans="1:19" ht="18.75" hidden="1" customHeight="1" x14ac:dyDescent="0.25">
      <c r="A150" s="2">
        <v>3</v>
      </c>
      <c r="B150" s="1" t="s">
        <v>254</v>
      </c>
      <c r="C150" s="90">
        <f t="shared" ref="C150:L150" si="71">IF(C$136&gt;C140,(C$136-C140)*IF(C$14&lt;$N$26,$J$4,$J$3)/(1+$J$2)^$A150,0)</f>
        <v>0</v>
      </c>
      <c r="D150" s="90">
        <f t="shared" si="71"/>
        <v>0</v>
      </c>
      <c r="E150" s="90">
        <f t="shared" si="71"/>
        <v>0</v>
      </c>
      <c r="F150" s="90">
        <f t="shared" si="71"/>
        <v>0</v>
      </c>
      <c r="G150" s="90">
        <f t="shared" si="71"/>
        <v>0</v>
      </c>
      <c r="H150" s="90">
        <f t="shared" si="71"/>
        <v>0</v>
      </c>
      <c r="I150" s="90">
        <f t="shared" si="71"/>
        <v>0</v>
      </c>
      <c r="J150" s="90">
        <f t="shared" si="71"/>
        <v>0</v>
      </c>
      <c r="K150" s="90">
        <f t="shared" si="71"/>
        <v>0</v>
      </c>
      <c r="L150" s="90">
        <f t="shared" si="71"/>
        <v>0</v>
      </c>
      <c r="M150" s="1"/>
      <c r="N150" s="1"/>
      <c r="O150" s="1"/>
      <c r="P150" s="1"/>
      <c r="Q150" s="1"/>
      <c r="R150" s="1"/>
      <c r="S150" s="1"/>
    </row>
    <row r="151" spans="1:19" ht="18.75" hidden="1" customHeight="1" x14ac:dyDescent="0.25">
      <c r="A151" s="2">
        <v>4</v>
      </c>
      <c r="B151" s="1" t="s">
        <v>255</v>
      </c>
      <c r="C151" s="90">
        <f t="shared" ref="C151:L151" si="72">IF(C$136&gt;C141,(C$136-C141)*IF(C$14&lt;$N$26,$J$4,$J$3)/(1+$J$2)^$A151,0)</f>
        <v>0</v>
      </c>
      <c r="D151" s="90">
        <f t="shared" si="72"/>
        <v>0</v>
      </c>
      <c r="E151" s="90">
        <f t="shared" si="72"/>
        <v>0</v>
      </c>
      <c r="F151" s="90">
        <f t="shared" si="72"/>
        <v>0</v>
      </c>
      <c r="G151" s="90">
        <f t="shared" si="72"/>
        <v>0</v>
      </c>
      <c r="H151" s="90">
        <f t="shared" si="72"/>
        <v>0</v>
      </c>
      <c r="I151" s="90">
        <f t="shared" si="72"/>
        <v>0</v>
      </c>
      <c r="J151" s="90">
        <f t="shared" si="72"/>
        <v>0</v>
      </c>
      <c r="K151" s="90">
        <f t="shared" si="72"/>
        <v>0</v>
      </c>
      <c r="L151" s="90">
        <f t="shared" si="72"/>
        <v>0</v>
      </c>
      <c r="M151" s="1"/>
      <c r="N151" s="1"/>
      <c r="O151" s="1"/>
      <c r="P151" s="1"/>
      <c r="Q151" s="1"/>
      <c r="R151" s="1"/>
      <c r="S151" s="1"/>
    </row>
    <row r="152" spans="1:19" ht="18.75" hidden="1" customHeight="1" x14ac:dyDescent="0.25">
      <c r="A152" s="2">
        <v>5</v>
      </c>
      <c r="B152" s="1" t="s">
        <v>256</v>
      </c>
      <c r="C152" s="90">
        <f t="shared" ref="C152:L152" si="73">IF(C$136&gt;C142,(C$136-C142)*IF(C$14&lt;$N$26,$J$4,$J$3)/(1+$J$2)^$A152,0)</f>
        <v>0</v>
      </c>
      <c r="D152" s="90">
        <f t="shared" si="73"/>
        <v>0</v>
      </c>
      <c r="E152" s="90">
        <f t="shared" si="73"/>
        <v>0</v>
      </c>
      <c r="F152" s="90">
        <f t="shared" si="73"/>
        <v>0</v>
      </c>
      <c r="G152" s="90">
        <f t="shared" si="73"/>
        <v>0</v>
      </c>
      <c r="H152" s="90">
        <f t="shared" si="73"/>
        <v>0</v>
      </c>
      <c r="I152" s="90">
        <f t="shared" si="73"/>
        <v>0</v>
      </c>
      <c r="J152" s="90">
        <f t="shared" si="73"/>
        <v>0</v>
      </c>
      <c r="K152" s="90">
        <f t="shared" si="73"/>
        <v>0</v>
      </c>
      <c r="L152" s="90">
        <f t="shared" si="73"/>
        <v>0</v>
      </c>
      <c r="M152" s="1"/>
      <c r="N152" s="1"/>
      <c r="O152" s="1"/>
      <c r="P152" s="1"/>
      <c r="Q152" s="1"/>
      <c r="R152" s="1"/>
      <c r="S152" s="1"/>
    </row>
    <row r="153" spans="1:19" ht="18.75" hidden="1" customHeight="1" x14ac:dyDescent="0.25">
      <c r="A153" s="2">
        <v>6</v>
      </c>
      <c r="B153" s="1" t="s">
        <v>257</v>
      </c>
      <c r="C153" s="90">
        <f t="shared" ref="C153:L153" si="74">IF(C$136&gt;C143,(C$136-C143)*IF(C$14&lt;$N$26,$J$4,$J$3)/(1+$J$2)^$A153,0)</f>
        <v>0</v>
      </c>
      <c r="D153" s="90">
        <f t="shared" si="74"/>
        <v>0</v>
      </c>
      <c r="E153" s="90">
        <f t="shared" si="74"/>
        <v>0</v>
      </c>
      <c r="F153" s="90">
        <f t="shared" si="74"/>
        <v>0</v>
      </c>
      <c r="G153" s="90">
        <f t="shared" si="74"/>
        <v>0</v>
      </c>
      <c r="H153" s="90">
        <f t="shared" si="74"/>
        <v>0</v>
      </c>
      <c r="I153" s="90">
        <f t="shared" si="74"/>
        <v>0</v>
      </c>
      <c r="J153" s="90">
        <f t="shared" si="74"/>
        <v>0</v>
      </c>
      <c r="K153" s="90">
        <f t="shared" si="74"/>
        <v>0</v>
      </c>
      <c r="L153" s="90">
        <f t="shared" si="74"/>
        <v>0</v>
      </c>
      <c r="M153" s="1"/>
      <c r="N153" s="1"/>
      <c r="O153" s="1"/>
      <c r="P153" s="1"/>
      <c r="Q153" s="1"/>
      <c r="R153" s="1"/>
      <c r="S153" s="1"/>
    </row>
    <row r="154" spans="1:19" ht="18.75" hidden="1" customHeight="1" x14ac:dyDescent="0.25">
      <c r="A154" s="2">
        <v>7</v>
      </c>
      <c r="B154" s="1" t="s">
        <v>258</v>
      </c>
      <c r="C154" s="90">
        <f t="shared" ref="C154:L154" si="75">IF(C$136&gt;C144,(C$136-C144)*IF(C$14&lt;$N$26,$J$4,$J$3)/(1+$J$2)^$A154,0)</f>
        <v>0</v>
      </c>
      <c r="D154" s="90">
        <f t="shared" si="75"/>
        <v>0</v>
      </c>
      <c r="E154" s="90">
        <f t="shared" si="75"/>
        <v>0</v>
      </c>
      <c r="F154" s="90">
        <f t="shared" si="75"/>
        <v>0</v>
      </c>
      <c r="G154" s="90">
        <f t="shared" si="75"/>
        <v>0</v>
      </c>
      <c r="H154" s="90">
        <f t="shared" si="75"/>
        <v>0</v>
      </c>
      <c r="I154" s="90">
        <f t="shared" si="75"/>
        <v>0</v>
      </c>
      <c r="J154" s="90">
        <f t="shared" si="75"/>
        <v>0</v>
      </c>
      <c r="K154" s="90">
        <f t="shared" si="75"/>
        <v>0</v>
      </c>
      <c r="L154" s="90">
        <f t="shared" si="75"/>
        <v>0</v>
      </c>
      <c r="M154" s="1"/>
      <c r="N154" s="1"/>
      <c r="O154" s="1"/>
      <c r="P154" s="1"/>
      <c r="Q154" s="1"/>
      <c r="R154" s="1"/>
      <c r="S154" s="1"/>
    </row>
    <row r="155" spans="1:19" ht="18.75" hidden="1" customHeight="1" x14ac:dyDescent="0.25">
      <c r="A155" s="2">
        <v>8</v>
      </c>
      <c r="B155" s="1" t="s">
        <v>259</v>
      </c>
      <c r="C155" s="90">
        <f t="shared" ref="C155:L155" si="76">IF(C$136&gt;C145,(C$136-C145)*IF(C$14&lt;$N$26,$J$4,$J$3)/(1+$J$2)^$A155,0)</f>
        <v>0</v>
      </c>
      <c r="D155" s="90">
        <f t="shared" si="76"/>
        <v>0</v>
      </c>
      <c r="E155" s="90">
        <f t="shared" si="76"/>
        <v>0</v>
      </c>
      <c r="F155" s="90">
        <f t="shared" si="76"/>
        <v>0</v>
      </c>
      <c r="G155" s="90">
        <f t="shared" si="76"/>
        <v>0</v>
      </c>
      <c r="H155" s="90">
        <f t="shared" si="76"/>
        <v>0</v>
      </c>
      <c r="I155" s="90">
        <f t="shared" si="76"/>
        <v>0</v>
      </c>
      <c r="J155" s="90">
        <f t="shared" si="76"/>
        <v>0</v>
      </c>
      <c r="K155" s="90">
        <f t="shared" si="76"/>
        <v>0</v>
      </c>
      <c r="L155" s="90">
        <f t="shared" si="76"/>
        <v>0</v>
      </c>
      <c r="M155" s="1"/>
      <c r="N155" s="1"/>
      <c r="O155" s="1"/>
      <c r="P155" s="1"/>
      <c r="Q155" s="1"/>
      <c r="R155" s="1"/>
      <c r="S155" s="1"/>
    </row>
    <row r="156" spans="1:19" ht="18.75" hidden="1" customHeight="1" x14ac:dyDescent="0.25">
      <c r="A156" s="2">
        <v>9</v>
      </c>
      <c r="B156" s="1" t="s">
        <v>260</v>
      </c>
      <c r="C156" s="90">
        <f t="shared" ref="C156:L156" si="77">IF(C$136&gt;C146,(C$136-C146)*IF(C$14&lt;$N$26,$J$4,$J$3)/(1+$J$2)^$A156,0)</f>
        <v>0</v>
      </c>
      <c r="D156" s="90">
        <f t="shared" si="77"/>
        <v>0</v>
      </c>
      <c r="E156" s="90">
        <f t="shared" si="77"/>
        <v>0</v>
      </c>
      <c r="F156" s="90">
        <f t="shared" si="77"/>
        <v>0</v>
      </c>
      <c r="G156" s="90">
        <f t="shared" si="77"/>
        <v>0</v>
      </c>
      <c r="H156" s="90">
        <f t="shared" si="77"/>
        <v>0</v>
      </c>
      <c r="I156" s="90">
        <f t="shared" si="77"/>
        <v>0</v>
      </c>
      <c r="J156" s="90">
        <f t="shared" si="77"/>
        <v>0</v>
      </c>
      <c r="K156" s="90">
        <f t="shared" si="77"/>
        <v>0</v>
      </c>
      <c r="L156" s="90">
        <f t="shared" si="77"/>
        <v>0</v>
      </c>
      <c r="M156" s="1"/>
      <c r="N156" s="1"/>
      <c r="O156" s="1"/>
      <c r="P156" s="1"/>
      <c r="Q156" s="1"/>
      <c r="R156" s="1"/>
      <c r="S156" s="1"/>
    </row>
  </sheetData>
  <sheetProtection algorithmName="SHA-512" hashValue="MUvtggd0hG9zWkkjMtRZxePCMPGIRvFVtUiEAZIk9doxihygOQqI1mP/yj17oVLvgQj78Yr2jBvQWeI3SGdplw==" saltValue="03FvT2HTwaX6NLHq8POuBQ==" spinCount="100000" sheet="1" objects="1" scenarios="1"/>
  <dataConsolidate/>
  <mergeCells count="13">
    <mergeCell ref="A23:A34"/>
    <mergeCell ref="Q5:R5"/>
    <mergeCell ref="Q4:R4"/>
    <mergeCell ref="Q3:R3"/>
    <mergeCell ref="Q2:R2"/>
    <mergeCell ref="A12:A21"/>
    <mergeCell ref="A5:B5"/>
    <mergeCell ref="Q7:R7"/>
    <mergeCell ref="N13:O13"/>
    <mergeCell ref="N12:O12"/>
    <mergeCell ref="A2:B2"/>
    <mergeCell ref="A4:B4"/>
    <mergeCell ref="A3:B3"/>
  </mergeCells>
  <dataValidations count="4">
    <dataValidation type="list" allowBlank="1" showInputMessage="1" showErrorMessage="1" sqref="C5:C6">
      <formula1>$R$12:$R$14</formula1>
    </dataValidation>
    <dataValidation type="list" allowBlank="1" showInputMessage="1" showErrorMessage="1" sqref="C12:L12">
      <formula1>$N$22:$N$23</formula1>
    </dataValidation>
    <dataValidation type="list" allowBlank="1" showInputMessage="1" showErrorMessage="1" sqref="C13:L13">
      <formula1>$E$3:$E$9</formula1>
    </dataValidation>
    <dataValidation type="list" allowBlank="1" showInputMessage="1" showErrorMessage="1" sqref="C4">
      <formula1>$R$20:$R$29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Lathund</vt:lpstr>
      <vt:lpstr>Bilkostnadskalkyl</vt:lpstr>
    </vt:vector>
  </TitlesOfParts>
  <Company>Högskolan i Gävle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Kjellén</dc:creator>
  <cp:lastModifiedBy>Peder Kjellén</cp:lastModifiedBy>
  <dcterms:created xsi:type="dcterms:W3CDTF">2020-05-11T14:37:47Z</dcterms:created>
  <dcterms:modified xsi:type="dcterms:W3CDTF">2021-02-10T11:48:48Z</dcterms:modified>
</cp:coreProperties>
</file>